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abani\Desktop\"/>
    </mc:Choice>
  </mc:AlternateContent>
  <xr:revisionPtr revIDLastSave="0" documentId="13_ncr:1_{BAEB665E-574D-4513-85BE-F0B0835E5557}" xr6:coauthVersionLast="40" xr6:coauthVersionMax="40" xr10:uidLastSave="{00000000-0000-0000-0000-000000000000}"/>
  <bookViews>
    <workbookView xWindow="120" yWindow="45" windowWidth="15135" windowHeight="8130" firstSheet="2" activeTab="2" xr2:uid="{00000000-000D-0000-FFFF-FFFF00000000}"/>
  </bookViews>
  <sheets>
    <sheet name="Data Sheet" sheetId="28" state="hidden" r:id="rId1"/>
    <sheet name="Valuation " sheetId="26" state="hidden" r:id="rId2"/>
    <sheet name="Duty Calculation" sheetId="34" r:id="rId3"/>
    <sheet name="Formula" sheetId="35" state="hidden" r:id="rId4"/>
    <sheet name="Depreciation" sheetId="27" state="hidden" r:id="rId5"/>
    <sheet name="Lists" sheetId="29" state="hidden" r:id="rId6"/>
    <sheet name="Specs" sheetId="31" state="hidden" r:id="rId7"/>
    <sheet name="Types" sheetId="32" state="hidden" r:id="rId8"/>
    <sheet name="Toyota" sheetId="1" state="hidden" r:id="rId9"/>
    <sheet name="Nissan" sheetId="2" state="hidden" r:id="rId10"/>
    <sheet name="Mazda" sheetId="4" state="hidden" r:id="rId11"/>
    <sheet name="Mitsubishi" sheetId="6" state="hidden" r:id="rId12"/>
    <sheet name="Suzuki" sheetId="20" state="hidden" r:id="rId13"/>
    <sheet name="Hyundai" sheetId="19" state="hidden" r:id="rId14"/>
    <sheet name="Great Wall" sheetId="18" state="hidden" r:id="rId15"/>
    <sheet name="Haval" sheetId="24" state="hidden" r:id="rId16"/>
    <sheet name="Volkswagen" sheetId="21" state="hidden" r:id="rId17"/>
    <sheet name="Isuzu" sheetId="3" state="hidden" r:id="rId18"/>
    <sheet name="Ford" sheetId="5" state="hidden" r:id="rId19"/>
    <sheet name="Kia" sheetId="7" state="hidden" r:id="rId20"/>
    <sheet name="Joylong" sheetId="11" state="hidden" r:id="rId21"/>
    <sheet name="Foton" sheetId="12" state="hidden" r:id="rId22"/>
    <sheet name="Ssang Yong" sheetId="22" state="hidden" r:id="rId23"/>
    <sheet name="Mahindra" sheetId="23" state="hidden" r:id="rId24"/>
    <sheet name="Honlei" sheetId="25" state="hidden" r:id="rId25"/>
  </sheets>
  <definedNames>
    <definedName name="Accent">Table44[[ Accent]]</definedName>
    <definedName name="Acent">Table44[[ Accent]]</definedName>
    <definedName name="Amarok">Table56[[ Amarok]]</definedName>
    <definedName name="APVPanelVan">Table41[[ APV Panel van]]</definedName>
    <definedName name="Dmax">Table57_1[DMax]</definedName>
    <definedName name="Ecosport">Table62[[ Ecosport]]</definedName>
    <definedName name="Elantra">Table45[[ Elantra]]</definedName>
    <definedName name="Explorer">Table63[[ Explorer]]</definedName>
    <definedName name="GrandVitara">Table42 #REF!</definedName>
    <definedName name="Hnine">Table54[H9]</definedName>
    <definedName name="HOne">Table46 #REF!</definedName>
    <definedName name="HOneHundred">Table47[[ H100]]</definedName>
    <definedName name="Honlei">Honeli[Honeli]</definedName>
    <definedName name="Hsix">Table53[H6]</definedName>
    <definedName name="Htwo">Table52[H2]</definedName>
    <definedName name="Hyundai">H[Hyundai]</definedName>
    <definedName name="iTen">Table48[[ i10]]</definedName>
    <definedName name="Jimny">Table43[[ Jimny]]</definedName>
    <definedName name="Landcruiser">Table21[Landcruiser]</definedName>
    <definedName name="Model">Type[Models]</definedName>
    <definedName name="Models">Type[[#All],[Models]]</definedName>
    <definedName name="MUX">Table58_1[mux]</definedName>
    <definedName name="NPR">Table59[[ NPR]]</definedName>
    <definedName name="Pickup">Table60[[ Pickup]]</definedName>
    <definedName name="Ranger">Table64[[ Ranger]]</definedName>
    <definedName name="SantaFe">Table49[[ Santa Fe]]</definedName>
    <definedName name="Sonata">Table50[[ Sonata]]</definedName>
    <definedName name="Sorento">Table68[Sorento]</definedName>
    <definedName name="Sportage">Table69[Sportage]</definedName>
    <definedName name="Transit">Table65[[ Transit ]]</definedName>
    <definedName name="TransitConnect">Table66[[ Transit Connect]]</definedName>
    <definedName name="Tunland">Table71[[ Tunland]]</definedName>
    <definedName name="Tuscon">Table51[[ Tuscon]]</definedName>
    <definedName name="Van">Table70[Van]</definedName>
    <definedName name="Volkswagen">Volkswagon[Volkswagon]</definedName>
    <definedName name="Wingle">Table55[[ Wingle]]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34" l="1"/>
  <c r="B5" i="26" l="1"/>
  <c r="B20" i="34" l="1"/>
  <c r="C20" i="34" s="1"/>
  <c r="B20" i="26"/>
  <c r="B18" i="34"/>
  <c r="C18" i="34" s="1"/>
  <c r="B18" i="26"/>
  <c r="B17" i="34"/>
  <c r="C17" i="34" s="1"/>
  <c r="B17" i="26"/>
  <c r="C19" i="34" l="1"/>
  <c r="C21" i="34" s="1"/>
  <c r="A22" i="27"/>
  <c r="B22" i="27"/>
  <c r="B11" i="34" l="1"/>
  <c r="D16" i="34" s="1"/>
  <c r="F19" i="28"/>
  <c r="C12" i="27" l="1"/>
  <c r="A23" i="27" l="1"/>
  <c r="B23" i="27"/>
  <c r="F18" i="28" l="1"/>
  <c r="B9" i="26" s="1"/>
  <c r="F17" i="28"/>
  <c r="D7" i="27" l="1"/>
  <c r="B26" i="26" l="1"/>
  <c r="B24" i="26"/>
  <c r="C18" i="27" l="1"/>
  <c r="B18" i="27"/>
  <c r="A18" i="27"/>
  <c r="A19" i="27" s="1"/>
  <c r="A20" i="27" s="1"/>
  <c r="A21" i="27" s="1"/>
  <c r="A28" i="27" l="1"/>
  <c r="A29" i="27" s="1"/>
  <c r="A30" i="27" s="1"/>
  <c r="A31" i="27" s="1"/>
  <c r="A32" i="27" s="1"/>
  <c r="A33" i="27" s="1"/>
  <c r="A34" i="27" s="1"/>
  <c r="A35" i="27" s="1"/>
  <c r="B36" i="27" s="1"/>
  <c r="B37" i="27" s="1"/>
  <c r="A24" i="27"/>
  <c r="A25" i="27" s="1"/>
  <c r="A26" i="27" s="1"/>
  <c r="A27" i="27" s="1"/>
  <c r="E18" i="27"/>
  <c r="D18" i="27"/>
  <c r="C19" i="27" l="1"/>
  <c r="B19" i="27"/>
  <c r="E19" i="27" l="1"/>
  <c r="B20" i="27" s="1"/>
  <c r="D19" i="27"/>
  <c r="C20" i="27" l="1"/>
  <c r="E20" i="27" l="1"/>
  <c r="B21" i="27" s="1"/>
  <c r="D20" i="27"/>
  <c r="C21" i="27" l="1"/>
  <c r="D21" i="27" s="1"/>
  <c r="E21" i="27" l="1"/>
  <c r="C22" i="27" l="1"/>
  <c r="E22" i="27" s="1"/>
  <c r="D22" i="27"/>
  <c r="C23" i="27" l="1"/>
  <c r="D23" i="27" s="1"/>
  <c r="E23" i="27" l="1"/>
  <c r="B24" i="27" s="1"/>
  <c r="C24" i="27" l="1"/>
  <c r="E24" i="27" s="1"/>
  <c r="D24" i="27"/>
  <c r="B25" i="27" l="1"/>
  <c r="C25" i="27"/>
  <c r="D25" i="27" s="1"/>
  <c r="E25" i="27" l="1"/>
  <c r="B26" i="27" l="1"/>
  <c r="E26" i="27" s="1"/>
  <c r="C26" i="27"/>
  <c r="D26" i="27" s="1"/>
  <c r="B27" i="27" l="1"/>
  <c r="E27" i="27" s="1"/>
  <c r="C27" i="27"/>
  <c r="D27" i="27" s="1"/>
  <c r="C28" i="27" l="1"/>
  <c r="B28" i="27"/>
  <c r="E28" i="27" l="1"/>
  <c r="D28" i="27"/>
  <c r="C29" i="27" l="1"/>
  <c r="B29" i="27"/>
  <c r="E29" i="27" l="1"/>
  <c r="D29" i="27"/>
  <c r="B30" i="27" l="1"/>
  <c r="E30" i="27" s="1"/>
  <c r="C30" i="27"/>
  <c r="B10" i="26"/>
  <c r="D30" i="27" l="1"/>
  <c r="D31" i="27"/>
  <c r="C31" i="27"/>
  <c r="B31" i="27"/>
  <c r="E31" i="27" s="1"/>
  <c r="B12" i="26"/>
  <c r="C16" i="26" s="1"/>
  <c r="B25" i="26"/>
  <c r="C20" i="26" l="1"/>
  <c r="C17" i="26"/>
  <c r="B32" i="27"/>
  <c r="C32" i="27"/>
  <c r="C18" i="26"/>
  <c r="B27" i="26"/>
  <c r="D32" i="27" l="1"/>
  <c r="E32" i="27"/>
  <c r="C19" i="26"/>
  <c r="C21" i="26" s="1"/>
  <c r="B28" i="26" s="1"/>
  <c r="C33" i="27" l="1"/>
  <c r="B33" i="27"/>
  <c r="E33" i="27" s="1"/>
  <c r="B21" i="26"/>
  <c r="B29" i="26"/>
  <c r="C34" i="27" l="1"/>
  <c r="B34" i="27"/>
  <c r="E34" i="27" s="1"/>
  <c r="D34" i="27"/>
  <c r="D33" i="27"/>
  <c r="C35" i="27" l="1"/>
  <c r="B35" i="27"/>
  <c r="E35" i="27" s="1"/>
  <c r="C36" i="27" l="1"/>
  <c r="D36" i="27"/>
  <c r="D35" i="27"/>
  <c r="E36" i="27"/>
  <c r="F36" i="27" l="1"/>
  <c r="D37" i="27" l="1"/>
  <c r="E37" i="27" s="1"/>
  <c r="C37" i="27"/>
  <c r="F37" i="27" s="1"/>
  <c r="D17" i="34" l="1"/>
  <c r="B12" i="34"/>
  <c r="D20" i="34" l="1"/>
  <c r="D18" i="34"/>
  <c r="D19" i="34" l="1"/>
  <c r="D21" i="34" s="1"/>
  <c r="B21" i="34" s="1"/>
</calcChain>
</file>

<file path=xl/sharedStrings.xml><?xml version="1.0" encoding="utf-8"?>
<sst xmlns="http://schemas.openxmlformats.org/spreadsheetml/2006/main" count="1218" uniqueCount="418">
  <si>
    <t>Year</t>
  </si>
  <si>
    <t>Specs</t>
  </si>
  <si>
    <t>Model</t>
  </si>
  <si>
    <t>4Runner</t>
  </si>
  <si>
    <t>Coaster</t>
  </si>
  <si>
    <t>Prado GKMEE</t>
  </si>
  <si>
    <t>Prado VXL</t>
  </si>
  <si>
    <t>Hilux 4x2 Single</t>
  </si>
  <si>
    <t>Hilux 4x2 Double</t>
  </si>
  <si>
    <t>Hilux AE</t>
  </si>
  <si>
    <t>Hilux AA</t>
  </si>
  <si>
    <t>Hilux -C</t>
  </si>
  <si>
    <t>Hilux CM-L</t>
  </si>
  <si>
    <t>Hilux CN</t>
  </si>
  <si>
    <t>Hiace Van</t>
  </si>
  <si>
    <t>Hilux CM</t>
  </si>
  <si>
    <t>Rav4</t>
  </si>
  <si>
    <t>Single Cab</t>
  </si>
  <si>
    <t>Double Cab</t>
  </si>
  <si>
    <t>Hilux 4x2</t>
  </si>
  <si>
    <t>16 Seater</t>
  </si>
  <si>
    <t>15 Seater</t>
  </si>
  <si>
    <t>12 Seater</t>
  </si>
  <si>
    <t>Land Cruiser</t>
  </si>
  <si>
    <t>Land Cruiser Pickup</t>
  </si>
  <si>
    <t>Fully Loaded</t>
  </si>
  <si>
    <t>29 Seater Bus</t>
  </si>
  <si>
    <t>Cargo Van</t>
  </si>
  <si>
    <t>Low Roof</t>
  </si>
  <si>
    <t>Leather Interior</t>
  </si>
  <si>
    <t>Double Tank</t>
  </si>
  <si>
    <t>Single Tank</t>
  </si>
  <si>
    <t>Duty Paid &amp; Tax Paid</t>
  </si>
  <si>
    <t>Duty Free &amp; Tax Paid</t>
  </si>
  <si>
    <t>Duty Free &amp; Tax Free</t>
  </si>
  <si>
    <t>2WD</t>
  </si>
  <si>
    <t>Cloth Interior</t>
  </si>
  <si>
    <t>Passenger Van</t>
  </si>
  <si>
    <t>Single Cab, A/C</t>
  </si>
  <si>
    <t>Double Cab, A/C</t>
  </si>
  <si>
    <t>4x2, Standard Model, Cloth Interior</t>
  </si>
  <si>
    <t>4x2, Super Luxury Model, Leather Interior, Airbags</t>
  </si>
  <si>
    <t>Intercooler, Fully Loaded</t>
  </si>
  <si>
    <t>4x4, Cloth Interior</t>
  </si>
  <si>
    <t>4x4, Super Luxury Model, Cloth Interior, Airbags</t>
  </si>
  <si>
    <t>LS</t>
  </si>
  <si>
    <t>Automatic Transmission, Leather Interior</t>
  </si>
  <si>
    <t>Automatic Transmission, Cloth Interior</t>
  </si>
  <si>
    <t>Manual Transmission, Leather Interior</t>
  </si>
  <si>
    <t>Manual Transmission, Cloth Interior</t>
  </si>
  <si>
    <t>2.5L, 4x4, Cloth Interior, Manual Transmission</t>
  </si>
  <si>
    <t>Manual Transmission</t>
  </si>
  <si>
    <t>2.5L, 4x4, Cloth Interior, Manual Transmission, ABS</t>
  </si>
  <si>
    <t>3.0L, 4x4, Cloth Interior, Automatic Transmission</t>
  </si>
  <si>
    <t>3.0L, 4X4, Cloth Interior, Manual Transmisson, ABS</t>
  </si>
  <si>
    <t xml:space="preserve"> Hilux AA</t>
  </si>
  <si>
    <t xml:space="preserve"> Hilux Q%</t>
  </si>
  <si>
    <t xml:space="preserve"> Hilux CM</t>
  </si>
  <si>
    <t xml:space="preserve"> Hilux CN</t>
  </si>
  <si>
    <t xml:space="preserve"> Hiace Van</t>
  </si>
  <si>
    <t xml:space="preserve"> 4runner</t>
  </si>
  <si>
    <t>16 Passenger, Manual Transmission, High Roof</t>
  </si>
  <si>
    <t>12 Passanger, Manual Transmission, Low Roof</t>
  </si>
  <si>
    <t>15 Passenger, Manual Transmission, Low Roof</t>
  </si>
  <si>
    <t>16 Passenger, Manual Transmission, Mid Roof</t>
  </si>
  <si>
    <t>4x4, Leather Interior, Automatic Transmission</t>
  </si>
  <si>
    <t>Dual Tank, 4x4, Cloth Interior, Manual Transmission</t>
  </si>
  <si>
    <t>Single Tank, 4x4, Cloth Interior, Manual Transmission</t>
  </si>
  <si>
    <t>Prado TXL (Low)</t>
  </si>
  <si>
    <t>Prado VX (Low)</t>
  </si>
  <si>
    <t>Prado VX (High)</t>
  </si>
  <si>
    <t xml:space="preserve"> Prado VX (High)</t>
  </si>
  <si>
    <t>Dual Tank, 4x4, Leather Interior, Automatic Transmisison</t>
  </si>
  <si>
    <t>Single Tank, 4x4, Leather Interior, Automatic Transmission</t>
  </si>
  <si>
    <t xml:space="preserve"> Prado TXL (Low)</t>
  </si>
  <si>
    <t>Dual Tank, 4x4, Cloth Interior, Automatic Transmission</t>
  </si>
  <si>
    <t>Single Tank, 4x4, Cloth Interior, Automatic Transmission</t>
  </si>
  <si>
    <t xml:space="preserve"> Prado VXL</t>
  </si>
  <si>
    <t xml:space="preserve"> Prado GKMEE</t>
  </si>
  <si>
    <t xml:space="preserve"> Navarra</t>
  </si>
  <si>
    <t xml:space="preserve"> Urvan</t>
  </si>
  <si>
    <t xml:space="preserve"> BT-50 Pickup</t>
  </si>
  <si>
    <t xml:space="preserve"> L200 GL</t>
  </si>
  <si>
    <t xml:space="preserve"> L200 GLS</t>
  </si>
  <si>
    <t xml:space="preserve"> L200 GLX</t>
  </si>
  <si>
    <t xml:space="preserve"> Nativa</t>
  </si>
  <si>
    <t xml:space="preserve"> Montero</t>
  </si>
  <si>
    <t xml:space="preserve"> Montero Sport</t>
  </si>
  <si>
    <t xml:space="preserve"> Grand Vitara 2.4L</t>
  </si>
  <si>
    <t xml:space="preserve"> Jimny</t>
  </si>
  <si>
    <t xml:space="preserve"> APV Panel van</t>
  </si>
  <si>
    <t xml:space="preserve"> H-1</t>
  </si>
  <si>
    <t xml:space="preserve"> Tuscon</t>
  </si>
  <si>
    <t xml:space="preserve"> Santa Fe</t>
  </si>
  <si>
    <t xml:space="preserve"> H100</t>
  </si>
  <si>
    <t xml:space="preserve"> i10</t>
  </si>
  <si>
    <t xml:space="preserve"> Accent</t>
  </si>
  <si>
    <t xml:space="preserve"> Elantra</t>
  </si>
  <si>
    <t xml:space="preserve"> Sonata</t>
  </si>
  <si>
    <t xml:space="preserve"> Wingle</t>
  </si>
  <si>
    <t xml:space="preserve"> Pickup</t>
  </si>
  <si>
    <t xml:space="preserve"> D-Max</t>
  </si>
  <si>
    <t xml:space="preserve"> Ranger</t>
  </si>
  <si>
    <t>XLT</t>
  </si>
  <si>
    <t>Wildtrak</t>
  </si>
  <si>
    <t>2.2L</t>
  </si>
  <si>
    <t>LS, Cloth Interior, Manual Transmission, 2WD</t>
  </si>
  <si>
    <t>LS Katana, Leather Interior, Manual Transmission, 4x4</t>
  </si>
  <si>
    <t>LS Katana, Leather Interior, Automatic Transmission, 4x4</t>
  </si>
  <si>
    <t>LS, Leather Interior, Manual Transmission, 4x4</t>
  </si>
  <si>
    <t>LS, Leather Interior, Automatic Transmission, 4x4</t>
  </si>
  <si>
    <t xml:space="preserve"> Explorer</t>
  </si>
  <si>
    <t xml:space="preserve"> Explorer XLT</t>
  </si>
  <si>
    <t>Leather, XLT</t>
  </si>
  <si>
    <t xml:space="preserve"> Amarok</t>
  </si>
  <si>
    <t>4x4, Automatic Transmission, Trendliner</t>
  </si>
  <si>
    <t>4x4, Manual Transmission, Highline</t>
  </si>
  <si>
    <t>4x4, Manual Transmission, Comfortline</t>
  </si>
  <si>
    <t xml:space="preserve"> Prado TXL (High)</t>
  </si>
  <si>
    <t xml:space="preserve"> Landcruiser</t>
  </si>
  <si>
    <t>Single Tank, 4x4, Automatic Transmission</t>
  </si>
  <si>
    <t>Crew Cab, 4x4, Manual Trans., Cloth</t>
  </si>
  <si>
    <t xml:space="preserve"> Hilux</t>
  </si>
  <si>
    <t>Cargo</t>
  </si>
  <si>
    <t>Sorento</t>
  </si>
  <si>
    <t>Diesel, Cloth</t>
  </si>
  <si>
    <t>Sportage</t>
  </si>
  <si>
    <t>Diesel, Leather</t>
  </si>
  <si>
    <t>2.5L, 2x4, Cloth Interior, Manual Transmission</t>
  </si>
  <si>
    <t xml:space="preserve">LS, Cloth Interior, Manual Transmission, 4x4, 3.0L </t>
  </si>
  <si>
    <t>Cloth Interior, Manual Transmission, 4x4, 3.0L</t>
  </si>
  <si>
    <t>GLS</t>
  </si>
  <si>
    <t>GLS w/ reverse camera</t>
  </si>
  <si>
    <t xml:space="preserve"> Van</t>
  </si>
  <si>
    <t>4x4, Automatic Transmission, Leather Interior, Reverse Camera</t>
  </si>
  <si>
    <t>Xtrail</t>
  </si>
  <si>
    <t>Diesel, 2wd, Manual Transmission, Leather</t>
  </si>
  <si>
    <t>Diesel, 4x4, Manual Transmission, Leather</t>
  </si>
  <si>
    <t>Gas, 2wd, Manual Transmission, Cloth</t>
  </si>
  <si>
    <t>3.0L, 4x4, Manual Transmission, steel wheels</t>
  </si>
  <si>
    <t>2.5L, AutomaticTransmission, Cloth Interior, 4x4</t>
  </si>
  <si>
    <t>Diesel, 2wd, manual Transmission, Cloth</t>
  </si>
  <si>
    <t>Diesel, 4x4,  manual Transmission, Cloth</t>
  </si>
  <si>
    <t>2.5L, Manual Transmission, Cloth Interior, 4x4, Steel Wheels</t>
  </si>
  <si>
    <t>2.5L High Output, Manual Transmission, Cloth Interior, 4x4, Steel Wheels</t>
  </si>
  <si>
    <t>LS Katana, 2.5L High Output, Manual Transmission</t>
  </si>
  <si>
    <t>LS Katana, 2.5L High Output, Automatic Transmission</t>
  </si>
  <si>
    <t xml:space="preserve"> NPR</t>
  </si>
  <si>
    <t>14' w/ box</t>
  </si>
  <si>
    <t>16' w/ box</t>
  </si>
  <si>
    <t>2.5L, AutomaticTransmission, Cloth Interior, 2wd</t>
  </si>
  <si>
    <t>Classic</t>
  </si>
  <si>
    <t>Frontier</t>
  </si>
  <si>
    <t>Manual Transmission, Cloth, 4x4</t>
  </si>
  <si>
    <t xml:space="preserve"> Frontier</t>
  </si>
  <si>
    <t xml:space="preserve"> Qashqai</t>
  </si>
  <si>
    <t xml:space="preserve">LS, Cloth Interior, Manual Transmission, 4x4 </t>
  </si>
  <si>
    <t>High Roof 16 passenger</t>
  </si>
  <si>
    <t>Mid Roof 15 passenger</t>
  </si>
  <si>
    <t>Manual Transmission, Leather, 4x4</t>
  </si>
  <si>
    <t xml:space="preserve"> Prado TXL</t>
  </si>
  <si>
    <t xml:space="preserve"> Actyon Sports</t>
  </si>
  <si>
    <t>Luxury, 18" wheels, leather, sunroof</t>
  </si>
  <si>
    <t>Basic, Cloth, Automatic Transmission</t>
  </si>
  <si>
    <t xml:space="preserve"> Tunland</t>
  </si>
  <si>
    <t xml:space="preserve"> View CS2</t>
  </si>
  <si>
    <t>4x4, Crew Cab</t>
  </si>
  <si>
    <t>2wd, Crew Cab</t>
  </si>
  <si>
    <t>2.5L, 4x4, Cloth Interior, Manual Transmission, 17" Alloy Wheels</t>
  </si>
  <si>
    <t>3.0L, 4x4, Leather Interior, Automatic Transmission, 17" Alloy Wheels, DVD &amp; Reverse Cam</t>
  </si>
  <si>
    <t>3.0L, 4x4, Cloth Interior, Automatic Transmission, 17" Alloy Wheels, DVD &amp; Reverse Cam</t>
  </si>
  <si>
    <t>3.0L, 4x4, Leather Interior, Manual Transmission, 17" Alloy Wheels, DVD &amp; Reverse Cam</t>
  </si>
  <si>
    <t>3.0L, 4x4, Cloth Interior, Manual Transmission, 17" Alloy Wheels, DVD &amp; Reverse Cam</t>
  </si>
  <si>
    <t xml:space="preserve"> Fortuner</t>
  </si>
  <si>
    <t>Manual Transmission, Cloth, 4x4, Steel Wheels</t>
  </si>
  <si>
    <t>Royal Saloon</t>
  </si>
  <si>
    <t>2 door, Cloth Interior, Manual Transmission, 4x4</t>
  </si>
  <si>
    <t>XLT,Crew Cab, 4x4, Manual Transmission, Cloth</t>
  </si>
  <si>
    <t>2wd, Cloth</t>
  </si>
  <si>
    <t xml:space="preserve"> Pik'up</t>
  </si>
  <si>
    <t>2wd, Crewcab</t>
  </si>
  <si>
    <t>4x4, Crewcab</t>
  </si>
  <si>
    <t xml:space="preserve"> Prado</t>
  </si>
  <si>
    <t>Dual Tank, 4x4, Cloth Interior, Manual Transmission, Steel Wheels</t>
  </si>
  <si>
    <t xml:space="preserve"> Rav4</t>
  </si>
  <si>
    <t>4x4, Crewcab, Cruise Control, Steering Wheel Controls, Alloy Rims</t>
  </si>
  <si>
    <t>4x4, Crewcab, Upgraded engine &amp; electronics</t>
  </si>
  <si>
    <t xml:space="preserve"> 4Runner</t>
  </si>
  <si>
    <t>Limited</t>
  </si>
  <si>
    <t>Trend</t>
  </si>
  <si>
    <t>Titanium</t>
  </si>
  <si>
    <t xml:space="preserve"> Ecosport</t>
  </si>
  <si>
    <t xml:space="preserve"> Transit </t>
  </si>
  <si>
    <t xml:space="preserve"> Transit Connect</t>
  </si>
  <si>
    <t>Classic, Basic, Manual transmission, 4x4</t>
  </si>
  <si>
    <t>Pro</t>
  </si>
  <si>
    <t xml:space="preserve"> K2700</t>
  </si>
  <si>
    <t>Single Cab, 2WD</t>
  </si>
  <si>
    <t>Double Cab, 2WD</t>
  </si>
  <si>
    <t>Pro XT</t>
  </si>
  <si>
    <t>Pro GT</t>
  </si>
  <si>
    <t>Leather, sunroof &amp; reverse camera</t>
  </si>
  <si>
    <t>XLT, Cloth</t>
  </si>
  <si>
    <t>Classic, Power, Manual transmission, 4x4</t>
  </si>
  <si>
    <t>Automatic Transmission, Cloth, 4x4</t>
  </si>
  <si>
    <t xml:space="preserve"> 2.5L, Basic, Steel Wheels</t>
  </si>
  <si>
    <t>16 Passenger, Low Roof</t>
  </si>
  <si>
    <t>15 Passenger, High Roof</t>
  </si>
  <si>
    <t xml:space="preserve"> QKR</t>
  </si>
  <si>
    <t>3 gate bed</t>
  </si>
  <si>
    <t>Low Roof 15 Passenger</t>
  </si>
  <si>
    <t>High Roof 15 Passenger</t>
  </si>
  <si>
    <t>4x4, Crew Cab, Leather</t>
  </si>
  <si>
    <t>4x4, Crew Cab, Cloth</t>
  </si>
  <si>
    <t xml:space="preserve"> Single Cab</t>
  </si>
  <si>
    <t xml:space="preserve"> MU-X</t>
  </si>
  <si>
    <t xml:space="preserve"> Xtrail</t>
  </si>
  <si>
    <t>Base Model, 4x4, Cloth Interior, Manual Transmission, Alloy Wheels</t>
  </si>
  <si>
    <t>Highride, 2WD, Manual Transmission, Cloth Interior, Alloy Wheels</t>
  </si>
  <si>
    <t>Highride, 2WD, Automatic Transmission, Cloth Interior, Alloy Wheels</t>
  </si>
  <si>
    <t xml:space="preserve">LS, Cloth Interior, Manual Transmission, 4x4, Alloy Wheels </t>
  </si>
  <si>
    <t>LS, Cloth Interior, Automatic Transmission, 4x4, Alloy Wheels</t>
  </si>
  <si>
    <t>Katana, Leather Interior, 2WD, Manual Transmission, Alloy Wheels</t>
  </si>
  <si>
    <t>Katana, Leather Interior, 2WD, Automatic Transmission, Alloy Wheels</t>
  </si>
  <si>
    <t>Katana, Leather Interior, 4x4, Manual Transmission, Alloy Wheels</t>
  </si>
  <si>
    <t>Katana, Leather Interior, 4x4, Automatic Transmission, Alloy Wheels</t>
  </si>
  <si>
    <t>Diesel, Wingle 5E, 4x4, Manual Transmission, Leather</t>
  </si>
  <si>
    <t>Dark Label</t>
  </si>
  <si>
    <t>Highline, Automatic Transmission, Alloy Wheels</t>
  </si>
  <si>
    <t>New Amarok , Automatic Transmission, LED Headlights, Reverse Camera, Leather Interior, Alloy Wheels</t>
  </si>
  <si>
    <t>Trendline, Single Turbo, Manual Transmission, Alloy Wheels</t>
  </si>
  <si>
    <t>Trendline, Bi-Turbo, Automatic Transmission, Alloy Wheels</t>
  </si>
  <si>
    <t>H2</t>
  </si>
  <si>
    <t>H6</t>
  </si>
  <si>
    <t>H9</t>
  </si>
  <si>
    <t xml:space="preserve"> Prado LJ</t>
  </si>
  <si>
    <t>Dual Tank, 4x4, Cloth Interior, Manual Transmisison</t>
  </si>
  <si>
    <t>Dual Tank. 4x4, Cloth Interior, Automatic Transmission</t>
  </si>
  <si>
    <t>Dual Tank, 4x4, Leather Interior, Automatic Transmission</t>
  </si>
  <si>
    <t>2.5L, 4x4, Cloth Interior, Manual Transmission, Manual Locks &amp; Windows</t>
  </si>
  <si>
    <t xml:space="preserve"> Cloth Seats, Steel Wheels</t>
  </si>
  <si>
    <t>Diesel, Wingle 6, 2wd, Manual Transmission, Leather</t>
  </si>
  <si>
    <t>Diesel, Wingle 5E, 2wd, Manual Transmission, Leather</t>
  </si>
  <si>
    <t>Diesel, Wingle 6, 4x4, Manual Transmission, Leather</t>
  </si>
  <si>
    <t>125cc</t>
  </si>
  <si>
    <t>Automatic</t>
  </si>
  <si>
    <t>Standard</t>
  </si>
  <si>
    <t>XT</t>
  </si>
  <si>
    <t>Pro XTR</t>
  </si>
  <si>
    <t>XTR, Manual Transmission</t>
  </si>
  <si>
    <t>XTR, Automatic Transmission</t>
  </si>
  <si>
    <t>GT, Automatic Transmission</t>
  </si>
  <si>
    <t xml:space="preserve">12 Pas </t>
  </si>
  <si>
    <t xml:space="preserve">15 pass </t>
  </si>
  <si>
    <t>Belize Value</t>
  </si>
  <si>
    <t>General Sales Tax</t>
  </si>
  <si>
    <t>Enviornmental Tax</t>
  </si>
  <si>
    <t>Import Duty</t>
  </si>
  <si>
    <t>Cylinders</t>
  </si>
  <si>
    <t>Vehicle Type</t>
  </si>
  <si>
    <t>Revenue Replacement Duty</t>
  </si>
  <si>
    <t>Internal Vehicle Valuation</t>
  </si>
  <si>
    <t>Kelly Blue Book Value</t>
  </si>
  <si>
    <t>USA Import</t>
  </si>
  <si>
    <t>No</t>
  </si>
  <si>
    <t>Pickup</t>
  </si>
  <si>
    <t>Suv</t>
  </si>
  <si>
    <t>Motorcycle</t>
  </si>
  <si>
    <t>Bus (20 Passengers)</t>
  </si>
  <si>
    <t>Tractor Truck</t>
  </si>
  <si>
    <t>4 Cyl</t>
  </si>
  <si>
    <t>6 Cyl</t>
  </si>
  <si>
    <t>8 Cyl</t>
  </si>
  <si>
    <t>U.S Value</t>
  </si>
  <si>
    <t>Description</t>
  </si>
  <si>
    <t>Percentage</t>
  </si>
  <si>
    <t>Amount $</t>
  </si>
  <si>
    <t>Total Value</t>
  </si>
  <si>
    <t>Car</t>
  </si>
  <si>
    <t>Vehicle Details</t>
  </si>
  <si>
    <t>Salvaged?</t>
  </si>
  <si>
    <t>Total Value Including Freight, Shipping or Handling charges</t>
  </si>
  <si>
    <t>-</t>
  </si>
  <si>
    <t>Total Taxes</t>
  </si>
  <si>
    <t>Final Internal Vehicle Valuation</t>
  </si>
  <si>
    <t>Bus (Over 20 Passengers)</t>
  </si>
  <si>
    <t>Truck (5 Tonnes)</t>
  </si>
  <si>
    <t>Utility Trailer</t>
  </si>
  <si>
    <t>Toyota</t>
  </si>
  <si>
    <t>Nissan</t>
  </si>
  <si>
    <t>Mazda</t>
  </si>
  <si>
    <t>Mitsubishi</t>
  </si>
  <si>
    <t>Suzuki</t>
  </si>
  <si>
    <t>Haval</t>
  </si>
  <si>
    <t>Hundai</t>
  </si>
  <si>
    <t>Great Wall</t>
  </si>
  <si>
    <t>Volkswagen</t>
  </si>
  <si>
    <t>Isuzu</t>
  </si>
  <si>
    <t>Ford</t>
  </si>
  <si>
    <t>Kia</t>
  </si>
  <si>
    <t>Joylong</t>
  </si>
  <si>
    <t>Foton</t>
  </si>
  <si>
    <t>Ssang Young</t>
  </si>
  <si>
    <t>Mahindra</t>
  </si>
  <si>
    <t>Honlei</t>
  </si>
  <si>
    <t>VEHICLE INFORMATION</t>
  </si>
  <si>
    <t>Depreciable Years</t>
  </si>
  <si>
    <t>Annual Depreciation Rate (%)</t>
  </si>
  <si>
    <t>REDUCING BALANCE DEPRECIATION TABLE</t>
  </si>
  <si>
    <t>Value 
(Start of Year)</t>
  </si>
  <si>
    <t>Annual Depreciation</t>
  </si>
  <si>
    <t>Accumulated Depreciation</t>
  </si>
  <si>
    <t>Value 
(End of Year)</t>
  </si>
  <si>
    <t>TOYOTA</t>
  </si>
  <si>
    <t>Volkswagon</t>
  </si>
  <si>
    <t>Prior to Importation</t>
  </si>
  <si>
    <t xml:space="preserve">Standard Shipping </t>
  </si>
  <si>
    <t>Belize Value @2.0525 Conversion Rate</t>
  </si>
  <si>
    <t>Final Valuation Summary</t>
  </si>
  <si>
    <t>Total Duty &amp; Taxes</t>
  </si>
  <si>
    <t>Value Exclusive Import Duty</t>
  </si>
  <si>
    <t>Import Duty &amp; Taxes</t>
  </si>
  <si>
    <t>Vehicle Brand</t>
  </si>
  <si>
    <t>Duty &amp; Taxes</t>
  </si>
  <si>
    <t>Models</t>
  </si>
  <si>
    <t>Hyundai</t>
  </si>
  <si>
    <t>Van</t>
  </si>
  <si>
    <t>Honeli</t>
  </si>
  <si>
    <t>Pik'up</t>
  </si>
  <si>
    <t>GreatWall</t>
  </si>
  <si>
    <t>Tpecs</t>
  </si>
  <si>
    <t>High Roof 16 Passenger</t>
  </si>
  <si>
    <t>Low Roof 12 Passenger</t>
  </si>
  <si>
    <t>2.5L, 4x4, Cloth Interior, Manual Transmission, 17" Alloy Wheels, Power Window</t>
  </si>
  <si>
    <t>Station Wagon</t>
  </si>
  <si>
    <t>Cloth Seat, Basic</t>
  </si>
  <si>
    <t>Year of Vehicle</t>
  </si>
  <si>
    <t>Fortuner</t>
  </si>
  <si>
    <t>Hilux</t>
  </si>
  <si>
    <t>Landcruiser</t>
  </si>
  <si>
    <t>Types</t>
  </si>
  <si>
    <t>Basic</t>
  </si>
  <si>
    <t>Basic Single Cab</t>
  </si>
  <si>
    <t>Basic Double Cab</t>
  </si>
  <si>
    <t>Basic Cloth Interior</t>
  </si>
  <si>
    <t>3 Gate Bed</t>
  </si>
  <si>
    <t>FourRunner</t>
  </si>
  <si>
    <t>HiaceVan</t>
  </si>
  <si>
    <t xml:space="preserve"> PradoGKMEE</t>
  </si>
  <si>
    <t>PradoGKMEE</t>
  </si>
  <si>
    <t>PradoTXL_Low</t>
  </si>
  <si>
    <t>PradoVXL</t>
  </si>
  <si>
    <t>PradoTXL_High</t>
  </si>
  <si>
    <t>RavFour</t>
  </si>
  <si>
    <t>BT_FiftyPickup</t>
  </si>
  <si>
    <t>L_TwoHundGL</t>
  </si>
  <si>
    <t>L_TwoHundGLS</t>
  </si>
  <si>
    <t>L_TwoHundGLX</t>
  </si>
  <si>
    <t>Montero</t>
  </si>
  <si>
    <t>Nativa</t>
  </si>
  <si>
    <t>Jimny</t>
  </si>
  <si>
    <t>Accent</t>
  </si>
  <si>
    <t>Elantra</t>
  </si>
  <si>
    <t>Sonata</t>
  </si>
  <si>
    <t>Tuscon</t>
  </si>
  <si>
    <t>APVPanelVan</t>
  </si>
  <si>
    <t>GrandVitara</t>
  </si>
  <si>
    <t>Hone</t>
  </si>
  <si>
    <t>HOneHundred</t>
  </si>
  <si>
    <t>iTen</t>
  </si>
  <si>
    <t>SantaFe</t>
  </si>
  <si>
    <t>Htwo</t>
  </si>
  <si>
    <t>Hsix</t>
  </si>
  <si>
    <t>Hnine</t>
  </si>
  <si>
    <t>Wingle</t>
  </si>
  <si>
    <t>Amarok</t>
  </si>
  <si>
    <t>NPR</t>
  </si>
  <si>
    <t>QKR</t>
  </si>
  <si>
    <t>Ecosport</t>
  </si>
  <si>
    <t>Explorer</t>
  </si>
  <si>
    <t>Ranger</t>
  </si>
  <si>
    <t xml:space="preserve">Transit </t>
  </si>
  <si>
    <t>Transit Connect</t>
  </si>
  <si>
    <t>ExplorerXLT</t>
  </si>
  <si>
    <t>KTwentySevenHundred</t>
  </si>
  <si>
    <t>Tunland</t>
  </si>
  <si>
    <t>ViewCSTwo</t>
  </si>
  <si>
    <t>ActyonSports</t>
  </si>
  <si>
    <t>OneTwentyFivecc</t>
  </si>
  <si>
    <t>Dmax</t>
  </si>
  <si>
    <t>MUX</t>
  </si>
  <si>
    <t>Pikup</t>
  </si>
  <si>
    <t>Actyon Sports</t>
  </si>
  <si>
    <t>SsangYoung</t>
  </si>
  <si>
    <t>Urvan</t>
  </si>
  <si>
    <t>Qashqai</t>
  </si>
  <si>
    <t>Navarra</t>
  </si>
  <si>
    <t>DMax</t>
  </si>
  <si>
    <t>Policy Number</t>
  </si>
  <si>
    <t>Insured</t>
  </si>
  <si>
    <t>N/A</t>
  </si>
  <si>
    <t>Yes, Max</t>
  </si>
  <si>
    <t>Yes, Min</t>
  </si>
  <si>
    <t>Salvage Deduction</t>
  </si>
  <si>
    <t>MU-X</t>
  </si>
  <si>
    <t>mux</t>
  </si>
  <si>
    <t>View CS2</t>
  </si>
  <si>
    <t>11 Pax</t>
  </si>
  <si>
    <t>Cost of new 2018 Model</t>
  </si>
  <si>
    <t xml:space="preserve"> Toano </t>
  </si>
  <si>
    <t>Toano</t>
  </si>
  <si>
    <t>Yes, Standard</t>
  </si>
  <si>
    <t>Total Taxes + Duty</t>
  </si>
  <si>
    <t>Estimated Import Duty &amp; Taxes Calculation Breakdown</t>
  </si>
  <si>
    <t>USD Value for Mexican Insurance @2.0525</t>
  </si>
  <si>
    <t>Total Value + Shipping</t>
  </si>
  <si>
    <t>Value Exclusive Import Duty + Taxes</t>
  </si>
  <si>
    <t>Current BZD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</si>
</sst>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BZ$&quot;* #,##0.00_);_(&quot;BZ$&quot;* \(#,##0.00\);_(&quot;BZ$&quot;* &quot;-&quot;??_);_(@_)"/>
    <numFmt numFmtId="165" formatCode="_(&quot;BZ$&quot;* #,##0_);_(&quot;BZ$&quot;* \(#,##0\);_(&quot;BZ$&quot;* &quot;-&quot;??_);_(@_)"/>
    <numFmt numFmtId="166" formatCode="&quot;BZ$&quot;#,##0.00"/>
    <numFmt numFmtId="167" formatCode="[$BZD]\ #,##0.00"/>
    <numFmt numFmtId="168" formatCode="&quot;$&quot;#,##0.0000"/>
    <numFmt numFmtId="169" formatCode="[$USD]\ #,##0.00"/>
    <numFmt numFmtId="170" formatCode="0.000%"/>
    <numFmt numFmtId="171" formatCode="&quot;$&quot;#,##0.00"/>
    <numFmt numFmtId="172" formatCode="0.0000%"/>
    <numFmt numFmtId="173" formatCode="0.000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Garamond"/>
    </font>
    <font>
      <b/>
      <sz val="11"/>
      <color theme="1"/>
      <name val="AGaramond"/>
    </font>
    <font>
      <b/>
      <sz val="16"/>
      <color theme="0"/>
      <name val="Calibri"/>
      <family val="2"/>
      <scheme val="minor"/>
    </font>
    <font>
      <b/>
      <u/>
      <sz val="11"/>
      <color theme="1"/>
      <name val="AGaramond"/>
    </font>
    <font>
      <sz val="12"/>
      <color theme="1"/>
      <name val="AGaramond"/>
    </font>
    <font>
      <b/>
      <sz val="14"/>
      <color theme="1"/>
      <name val="AGaramond"/>
    </font>
    <font>
      <i/>
      <sz val="12"/>
      <color theme="1"/>
      <name val="AGaramond"/>
    </font>
    <font>
      <sz val="12"/>
      <color rgb="FFFF0000"/>
      <name val="AGaramond"/>
    </font>
    <font>
      <b/>
      <sz val="12"/>
      <color rgb="FF0000FF"/>
      <name val="AGaramond"/>
    </font>
    <font>
      <sz val="12"/>
      <name val="AGaramond"/>
    </font>
    <font>
      <sz val="18"/>
      <color rgb="FF800000"/>
      <name val="Arial Rounded MT Bold"/>
      <family val="2"/>
    </font>
    <font>
      <b/>
      <sz val="12"/>
      <color theme="0"/>
      <name val="AGaramond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AGaramond"/>
    </font>
    <font>
      <b/>
      <u val="double"/>
      <sz val="12"/>
      <color rgb="FF0000FF"/>
      <name val="AGaramond"/>
    </font>
    <font>
      <sz val="12"/>
      <color rgb="FF00B050"/>
      <name val="AGaramond"/>
    </font>
  </fonts>
  <fills count="6">
    <fill>
      <patternFill patternType="none"/>
    </fill>
    <fill>
      <patternFill patternType="gray125"/>
    </fill>
    <fill>
      <patternFill patternType="solid">
        <fgColor rgb="FF00B4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1" applyFont="1" applyBorder="1"/>
    <xf numFmtId="0" fontId="0" fillId="0" borderId="2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Fill="1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4" fontId="0" fillId="0" borderId="7" xfId="1" applyFont="1" applyBorder="1"/>
    <xf numFmtId="164" fontId="0" fillId="0" borderId="7" xfId="1" applyFont="1" applyBorder="1" applyAlignment="1">
      <alignment horizontal="center"/>
    </xf>
    <xf numFmtId="165" fontId="2" fillId="0" borderId="5" xfId="1" applyNumberFormat="1" applyFont="1" applyBorder="1" applyAlignment="1"/>
    <xf numFmtId="164" fontId="0" fillId="0" borderId="6" xfId="1" applyFont="1" applyBorder="1" applyAlignment="1">
      <alignment horizontal="center"/>
    </xf>
    <xf numFmtId="0" fontId="0" fillId="0" borderId="0" xfId="0" applyAlignment="1"/>
    <xf numFmtId="164" fontId="0" fillId="0" borderId="6" xfId="0" applyNumberFormat="1" applyBorder="1"/>
    <xf numFmtId="164" fontId="0" fillId="0" borderId="7" xfId="0" applyNumberFormat="1" applyBorder="1"/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7" xfId="1" applyNumberFormat="1" applyFont="1" applyBorder="1"/>
    <xf numFmtId="0" fontId="2" fillId="0" borderId="5" xfId="0" applyNumberFormat="1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64" fontId="0" fillId="0" borderId="6" xfId="0" applyNumberFormat="1" applyBorder="1" applyAlignment="1"/>
    <xf numFmtId="164" fontId="0" fillId="0" borderId="7" xfId="0" applyNumberFormat="1" applyBorder="1" applyAlignment="1"/>
    <xf numFmtId="0" fontId="0" fillId="0" borderId="3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6" fontId="0" fillId="0" borderId="7" xfId="0" applyNumberFormat="1" applyBorder="1" applyAlignment="1">
      <alignment horizontal="right"/>
    </xf>
    <xf numFmtId="0" fontId="0" fillId="0" borderId="0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right"/>
    </xf>
    <xf numFmtId="164" fontId="0" fillId="0" borderId="4" xfId="1" applyNumberFormat="1" applyFont="1" applyFill="1" applyBorder="1" applyAlignment="1">
      <alignment horizontal="center"/>
    </xf>
    <xf numFmtId="0" fontId="0" fillId="0" borderId="7" xfId="0" applyFill="1" applyBorder="1"/>
    <xf numFmtId="0" fontId="3" fillId="0" borderId="5" xfId="0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5" xfId="1" applyNumberFormat="1" applyFont="1" applyBorder="1" applyAlignment="1"/>
    <xf numFmtId="164" fontId="3" fillId="0" borderId="5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4" fontId="4" fillId="0" borderId="6" xfId="1" applyFont="1" applyBorder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0" fontId="4" fillId="0" borderId="7" xfId="0" applyFont="1" applyBorder="1" applyAlignment="1"/>
    <xf numFmtId="166" fontId="4" fillId="0" borderId="7" xfId="0" applyNumberFormat="1" applyFont="1" applyBorder="1"/>
    <xf numFmtId="164" fontId="4" fillId="0" borderId="7" xfId="1" applyFont="1" applyBorder="1"/>
    <xf numFmtId="166" fontId="4" fillId="0" borderId="7" xfId="0" applyNumberFormat="1" applyFont="1" applyBorder="1" applyAlignme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4" fillId="0" borderId="0" xfId="0" applyFont="1" applyAlignment="1"/>
    <xf numFmtId="0" fontId="5" fillId="0" borderId="5" xfId="0" applyFont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164" fontId="5" fillId="0" borderId="5" xfId="1" applyFont="1" applyBorder="1" applyAlignment="1">
      <alignment horizontal="center"/>
    </xf>
    <xf numFmtId="0" fontId="6" fillId="0" borderId="0" xfId="0" applyFont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164" fontId="6" fillId="0" borderId="6" xfId="0" applyNumberFormat="1" applyFont="1" applyBorder="1"/>
    <xf numFmtId="0" fontId="6" fillId="0" borderId="6" xfId="0" applyFont="1" applyBorder="1"/>
    <xf numFmtId="164" fontId="6" fillId="0" borderId="7" xfId="0" applyNumberFormat="1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8" fontId="7" fillId="0" borderId="0" xfId="0" applyNumberFormat="1" applyFont="1"/>
    <xf numFmtId="164" fontId="0" fillId="0" borderId="0" xfId="1" applyFont="1"/>
    <xf numFmtId="0" fontId="0" fillId="0" borderId="0" xfId="0" applyProtection="1"/>
    <xf numFmtId="164" fontId="0" fillId="0" borderId="0" xfId="1" applyFont="1" applyProtection="1"/>
    <xf numFmtId="164" fontId="0" fillId="0" borderId="2" xfId="0" applyNumberFormat="1" applyBorder="1"/>
    <xf numFmtId="164" fontId="0" fillId="0" borderId="6" xfId="1" applyFont="1" applyBorder="1"/>
    <xf numFmtId="164" fontId="0" fillId="0" borderId="2" xfId="1" applyNumberFormat="1" applyFont="1" applyBorder="1"/>
    <xf numFmtId="0" fontId="0" fillId="0" borderId="0" xfId="0" applyNumberForma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Font="1" applyBorder="1"/>
    <xf numFmtId="164" fontId="2" fillId="0" borderId="21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164" fontId="2" fillId="0" borderId="21" xfId="1" applyNumberFormat="1" applyFont="1" applyBorder="1" applyAlignment="1">
      <alignment horizontal="center"/>
    </xf>
    <xf numFmtId="0" fontId="10" fillId="0" borderId="0" xfId="0" applyFont="1"/>
    <xf numFmtId="166" fontId="4" fillId="0" borderId="6" xfId="0" applyNumberFormat="1" applyFont="1" applyBorder="1" applyAlignment="1"/>
    <xf numFmtId="166" fontId="0" fillId="0" borderId="6" xfId="0" applyNumberFormat="1" applyBorder="1" applyAlignment="1">
      <alignment horizontal="right"/>
    </xf>
    <xf numFmtId="164" fontId="0" fillId="0" borderId="3" xfId="1" applyFont="1" applyBorder="1" applyAlignment="1">
      <alignment horizontal="center"/>
    </xf>
    <xf numFmtId="164" fontId="0" fillId="0" borderId="8" xfId="0" applyNumberFormat="1" applyBorder="1"/>
    <xf numFmtId="0" fontId="11" fillId="4" borderId="7" xfId="0" applyFont="1" applyFill="1" applyBorder="1" applyAlignment="1" applyProtection="1">
      <alignment horizontal="center"/>
      <protection locked="0"/>
    </xf>
    <xf numFmtId="169" fontId="16" fillId="4" borderId="3" xfId="0" applyNumberFormat="1" applyFont="1" applyFill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wrapText="1"/>
    </xf>
    <xf numFmtId="0" fontId="11" fillId="0" borderId="3" xfId="0" applyFont="1" applyBorder="1"/>
    <xf numFmtId="10" fontId="11" fillId="0" borderId="7" xfId="0" applyNumberFormat="1" applyFont="1" applyBorder="1" applyAlignment="1">
      <alignment horizontal="center"/>
    </xf>
    <xf numFmtId="167" fontId="16" fillId="0" borderId="7" xfId="0" applyNumberFormat="1" applyFont="1" applyBorder="1"/>
    <xf numFmtId="10" fontId="11" fillId="0" borderId="7" xfId="0" applyNumberFormat="1" applyFont="1" applyBorder="1"/>
    <xf numFmtId="167" fontId="11" fillId="0" borderId="7" xfId="0" applyNumberFormat="1" applyFont="1" applyBorder="1"/>
    <xf numFmtId="167" fontId="14" fillId="0" borderId="7" xfId="0" applyNumberFormat="1" applyFont="1" applyBorder="1"/>
    <xf numFmtId="0" fontId="11" fillId="0" borderId="3" xfId="0" applyFont="1" applyBorder="1" applyAlignment="1">
      <alignment horizontal="center"/>
    </xf>
    <xf numFmtId="169" fontId="11" fillId="0" borderId="3" xfId="0" applyNumberFormat="1" applyFont="1" applyBorder="1"/>
    <xf numFmtId="167" fontId="15" fillId="0" borderId="22" xfId="0" applyNumberFormat="1" applyFont="1" applyBorder="1"/>
    <xf numFmtId="164" fontId="7" fillId="0" borderId="0" xfId="1" applyFont="1"/>
    <xf numFmtId="164" fontId="7" fillId="0" borderId="15" xfId="1" applyFont="1" applyBorder="1" applyProtection="1">
      <protection locked="0"/>
    </xf>
    <xf numFmtId="9" fontId="7" fillId="3" borderId="20" xfId="2" applyFont="1" applyFill="1" applyBorder="1" applyProtection="1">
      <protection locked="0"/>
    </xf>
    <xf numFmtId="0" fontId="8" fillId="0" borderId="6" xfId="0" applyFont="1" applyBorder="1" applyAlignment="1" applyProtection="1">
      <alignment horizontal="center" vertical="center" wrapText="1"/>
    </xf>
    <xf numFmtId="164" fontId="8" fillId="0" borderId="6" xfId="1" applyFont="1" applyBorder="1" applyAlignment="1" applyProtection="1">
      <alignment horizontal="center" vertical="center" wrapText="1"/>
    </xf>
    <xf numFmtId="0" fontId="7" fillId="0" borderId="0" xfId="0" applyFont="1" applyProtection="1"/>
    <xf numFmtId="164" fontId="7" fillId="0" borderId="0" xfId="1" applyFont="1" applyProtection="1"/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7" fillId="3" borderId="18" xfId="0" applyFont="1" applyFill="1" applyBorder="1" applyAlignment="1"/>
    <xf numFmtId="0" fontId="7" fillId="3" borderId="19" xfId="0" applyFont="1" applyFill="1" applyBorder="1" applyAlignment="1"/>
    <xf numFmtId="0" fontId="18" fillId="2" borderId="10" xfId="0" applyFont="1" applyFill="1" applyBorder="1" applyAlignment="1" applyProtection="1">
      <alignment horizontal="center"/>
    </xf>
    <xf numFmtId="0" fontId="18" fillId="2" borderId="11" xfId="0" applyFont="1" applyFill="1" applyBorder="1" applyAlignment="1" applyProtection="1">
      <alignment horizontal="center"/>
    </xf>
    <xf numFmtId="0" fontId="18" fillId="2" borderId="12" xfId="0" applyFont="1" applyFill="1" applyBorder="1" applyAlignment="1" applyProtection="1">
      <alignment horizontal="center"/>
    </xf>
    <xf numFmtId="0" fontId="16" fillId="4" borderId="3" xfId="0" applyNumberFormat="1" applyFont="1" applyFill="1" applyBorder="1" applyAlignment="1">
      <alignment horizontal="center"/>
    </xf>
    <xf numFmtId="0" fontId="16" fillId="4" borderId="3" xfId="0" applyNumberFormat="1" applyFont="1" applyFill="1" applyBorder="1" applyAlignment="1">
      <alignment horizontal="center" wrapText="1"/>
    </xf>
    <xf numFmtId="0" fontId="2" fillId="0" borderId="0" xfId="0" applyFont="1"/>
    <xf numFmtId="0" fontId="19" fillId="0" borderId="0" xfId="3"/>
    <xf numFmtId="0" fontId="0" fillId="0" borderId="8" xfId="0" applyBorder="1"/>
    <xf numFmtId="0" fontId="0" fillId="0" borderId="7" xfId="0" applyFont="1" applyBorder="1"/>
    <xf numFmtId="0" fontId="0" fillId="0" borderId="23" xfId="0" applyBorder="1"/>
    <xf numFmtId="0" fontId="0" fillId="0" borderId="6" xfId="0" applyFont="1" applyBorder="1"/>
    <xf numFmtId="0" fontId="0" fillId="4" borderId="7" xfId="0" applyFill="1" applyBorder="1"/>
    <xf numFmtId="0" fontId="0" fillId="4" borderId="7" xfId="0" applyNumberForma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0" fillId="4" borderId="7" xfId="1" applyFont="1" applyFill="1" applyBorder="1"/>
    <xf numFmtId="0" fontId="0" fillId="4" borderId="6" xfId="0" applyFont="1" applyFill="1" applyBorder="1"/>
    <xf numFmtId="0" fontId="0" fillId="4" borderId="21" xfId="0" applyNumberFormat="1" applyFont="1" applyFill="1" applyBorder="1" applyAlignment="1">
      <alignment horizontal="center"/>
    </xf>
    <xf numFmtId="164" fontId="1" fillId="4" borderId="6" xfId="1" applyNumberFormat="1" applyFont="1" applyFill="1" applyBorder="1" applyAlignment="1">
      <alignment horizontal="center"/>
    </xf>
    <xf numFmtId="164" fontId="1" fillId="4" borderId="7" xfId="1" applyNumberFormat="1" applyFont="1" applyFill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0" fillId="4" borderId="7" xfId="0" applyFont="1" applyFill="1" applyBorder="1"/>
    <xf numFmtId="0" fontId="0" fillId="4" borderId="7" xfId="0" applyNumberFormat="1" applyFont="1" applyFill="1" applyBorder="1" applyAlignment="1">
      <alignment horizontal="center"/>
    </xf>
    <xf numFmtId="0" fontId="0" fillId="4" borderId="23" xfId="0" applyFill="1" applyBorder="1"/>
    <xf numFmtId="0" fontId="20" fillId="0" borderId="0" xfId="0" applyFont="1"/>
    <xf numFmtId="0" fontId="0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164" fontId="4" fillId="0" borderId="0" xfId="1" applyFont="1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0" fontId="2" fillId="0" borderId="0" xfId="0" applyFont="1" applyFill="1" applyBorder="1"/>
    <xf numFmtId="164" fontId="2" fillId="0" borderId="0" xfId="1" applyFont="1" applyFill="1" applyBorder="1"/>
    <xf numFmtId="0" fontId="2" fillId="0" borderId="0" xfId="0" applyFont="1" applyFill="1" applyBorder="1" applyAlignment="1">
      <alignment horizontal="left"/>
    </xf>
    <xf numFmtId="164" fontId="0" fillId="0" borderId="0" xfId="1" applyFont="1" applyFill="1" applyBorder="1"/>
    <xf numFmtId="164" fontId="0" fillId="0" borderId="23" xfId="1" applyFont="1" applyBorder="1"/>
    <xf numFmtId="0" fontId="0" fillId="0" borderId="2" xfId="0" applyFont="1" applyBorder="1"/>
    <xf numFmtId="164" fontId="21" fillId="0" borderId="0" xfId="1" applyFont="1"/>
    <xf numFmtId="170" fontId="13" fillId="0" borderId="7" xfId="0" applyNumberFormat="1" applyFont="1" applyBorder="1"/>
    <xf numFmtId="164" fontId="7" fillId="0" borderId="0" xfId="1" applyFont="1" applyFill="1" applyProtection="1"/>
    <xf numFmtId="0" fontId="17" fillId="0" borderId="0" xfId="0" applyFont="1" applyBorder="1" applyAlignment="1">
      <alignment horizontal="center"/>
    </xf>
    <xf numFmtId="9" fontId="7" fillId="0" borderId="0" xfId="0" applyNumberFormat="1" applyFont="1"/>
    <xf numFmtId="171" fontId="7" fillId="0" borderId="0" xfId="0" applyNumberFormat="1" applyFont="1"/>
    <xf numFmtId="169" fontId="16" fillId="4" borderId="3" xfId="0" applyNumberFormat="1" applyFont="1" applyFill="1" applyBorder="1" applyAlignment="1" applyProtection="1">
      <alignment horizontal="center"/>
      <protection locked="0"/>
    </xf>
    <xf numFmtId="165" fontId="2" fillId="0" borderId="21" xfId="1" applyNumberFormat="1" applyFont="1" applyBorder="1" applyAlignment="1">
      <alignment horizontal="center"/>
    </xf>
    <xf numFmtId="164" fontId="2" fillId="0" borderId="21" xfId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72" fontId="0" fillId="0" borderId="0" xfId="0" applyNumberFormat="1"/>
    <xf numFmtId="173" fontId="0" fillId="0" borderId="0" xfId="0" applyNumberFormat="1"/>
    <xf numFmtId="0" fontId="11" fillId="0" borderId="7" xfId="0" applyNumberFormat="1" applyFont="1" applyBorder="1" applyAlignment="1">
      <alignment horizontal="center" vertical="center" wrapText="1"/>
    </xf>
    <xf numFmtId="167" fontId="22" fillId="0" borderId="0" xfId="0" applyNumberFormat="1" applyFont="1" applyBorder="1"/>
    <xf numFmtId="167" fontId="15" fillId="0" borderId="0" xfId="0" applyNumberFormat="1" applyFont="1" applyBorder="1"/>
    <xf numFmtId="170" fontId="11" fillId="0" borderId="7" xfId="0" applyNumberFormat="1" applyFont="1" applyBorder="1"/>
    <xf numFmtId="9" fontId="22" fillId="0" borderId="7" xfId="0" applyNumberFormat="1" applyFont="1" applyFill="1" applyBorder="1" applyAlignment="1" applyProtection="1">
      <alignment horizontal="center"/>
    </xf>
    <xf numFmtId="167" fontId="16" fillId="4" borderId="7" xfId="0" applyNumberFormat="1" applyFont="1" applyFill="1" applyBorder="1" applyProtection="1">
      <protection locked="0"/>
    </xf>
    <xf numFmtId="169" fontId="23" fillId="0" borderId="24" xfId="0" applyNumberFormat="1" applyFont="1" applyBorder="1"/>
    <xf numFmtId="167" fontId="24" fillId="0" borderId="7" xfId="0" applyNumberFormat="1" applyFont="1" applyBorder="1"/>
    <xf numFmtId="0" fontId="11" fillId="5" borderId="7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9" fontId="11" fillId="0" borderId="3" xfId="0" applyNumberFormat="1" applyFont="1" applyBorder="1" applyAlignment="1">
      <alignment horizontal="center"/>
    </xf>
    <xf numFmtId="167" fontId="11" fillId="0" borderId="7" xfId="0" applyNumberFormat="1" applyFont="1" applyBorder="1" applyAlignment="1">
      <alignment horizontal="center"/>
    </xf>
    <xf numFmtId="167" fontId="16" fillId="0" borderId="7" xfId="0" applyNumberFormat="1" applyFont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3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00FF"/>
      </font>
    </dxf>
    <dxf>
      <font>
        <b/>
        <i val="0"/>
        <color rgb="FFFF0000"/>
      </font>
    </dxf>
    <dxf>
      <font>
        <b/>
        <i val="0"/>
        <color rgb="FF008000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aramond"/>
        <scheme val="none"/>
      </font>
    </dxf>
  </dxfs>
  <tableStyles count="0" defaultTableStyle="TableStyleMedium9" defaultPivotStyle="PivotStyleLight16"/>
  <colors>
    <mruColors>
      <color rgb="FF0000FF"/>
      <color rgb="FF008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1</xdr:row>
      <xdr:rowOff>233391</xdr:rowOff>
    </xdr:from>
    <xdr:to>
      <xdr:col>2</xdr:col>
      <xdr:colOff>1285875</xdr:colOff>
      <xdr:row>6</xdr:row>
      <xdr:rowOff>189229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1B4822-E0C8-4446-8DDF-AD6A9BD2E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1" y="528666"/>
          <a:ext cx="714374" cy="965488"/>
        </a:xfrm>
        <a:prstGeom prst="rect">
          <a:avLst/>
        </a:prstGeom>
      </xdr:spPr>
    </xdr:pic>
    <xdr:clientData/>
  </xdr:twoCellAnchor>
  <xdr:twoCellAnchor>
    <xdr:from>
      <xdr:col>2</xdr:col>
      <xdr:colOff>195262</xdr:colOff>
      <xdr:row>3</xdr:row>
      <xdr:rowOff>4762</xdr:rowOff>
    </xdr:from>
    <xdr:to>
      <xdr:col>2</xdr:col>
      <xdr:colOff>433388</xdr:colOff>
      <xdr:row>5</xdr:row>
      <xdr:rowOff>100012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730B212E-CD72-4909-9049-C634637A002A}"/>
            </a:ext>
          </a:extLst>
        </xdr:cNvPr>
        <xdr:cNvSpPr/>
      </xdr:nvSpPr>
      <xdr:spPr>
        <a:xfrm rot="13553397">
          <a:off x="3352800" y="581024"/>
          <a:ext cx="323850" cy="23812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47624</xdr:colOff>
      <xdr:row>1</xdr:row>
      <xdr:rowOff>63185</xdr:rowOff>
    </xdr:from>
    <xdr:to>
      <xdr:col>3</xdr:col>
      <xdr:colOff>3009899</xdr:colOff>
      <xdr:row>8</xdr:row>
      <xdr:rowOff>63449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681FD61-2045-44F4-8206-5BC247E70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4" y="320360"/>
          <a:ext cx="2962275" cy="1438539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9</xdr:row>
      <xdr:rowOff>161925</xdr:rowOff>
    </xdr:from>
    <xdr:to>
      <xdr:col>3</xdr:col>
      <xdr:colOff>2772213</xdr:colOff>
      <xdr:row>28</xdr:row>
      <xdr:rowOff>276225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C00076F-6BE7-4AC9-95D0-DA4EFEDBB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2009775"/>
          <a:ext cx="2505513" cy="438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24</xdr:row>
      <xdr:rowOff>57150</xdr:rowOff>
    </xdr:from>
    <xdr:to>
      <xdr:col>2</xdr:col>
      <xdr:colOff>1616867</xdr:colOff>
      <xdr:row>28</xdr:row>
      <xdr:rowOff>152399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9511A8-26C5-4E21-80ED-3FC25B4C0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5429250"/>
          <a:ext cx="1493042" cy="85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1</xdr:row>
      <xdr:rowOff>161926</xdr:rowOff>
    </xdr:from>
    <xdr:to>
      <xdr:col>4</xdr:col>
      <xdr:colOff>704850</xdr:colOff>
      <xdr:row>6</xdr:row>
      <xdr:rowOff>130938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244370-5EA2-4602-B176-9BE8FECB5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457201"/>
          <a:ext cx="2486025" cy="12072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40AA34-78F4-4BB9-822C-AFA4B5E6FEB1}" name="Type" displayName="Type" ref="A1:A18" totalsRowShown="0" headerRowDxfId="231" dataDxfId="230">
  <autoFilter ref="A1:A18" xr:uid="{6FA44845-1931-44B7-9FF9-AF7B509B5985}"/>
  <tableColumns count="1">
    <tableColumn id="1" xr3:uid="{FECD905D-C770-4CFA-A519-C852EEF32DCA}" name="Models" dataDxfId="229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AB7C6B8-F5BE-41D1-A96C-32B64741927A}" name="Isuzu" displayName="Isuzu" ref="K1:K6" totalsRowShown="0" headerRowDxfId="204" tableBorderDxfId="203">
  <autoFilter ref="K1:K6" xr:uid="{1A4EB3FB-52DE-4E84-BC3D-D1C220205113}"/>
  <tableColumns count="1">
    <tableColumn id="1" xr3:uid="{6DFEDDD5-2363-445C-AE9C-2D4DFB18F4D6}" name="Isuzu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122172E-6EF6-4654-9C0D-B66F2F89C244}" name="Ford" displayName="Ford" ref="L1:L7" totalsRowShown="0" headerRowDxfId="202" tableBorderDxfId="201">
  <autoFilter ref="L1:L7" xr:uid="{CF51A3F6-7C78-4DAF-882D-529E9A4B58D3}"/>
  <tableColumns count="1">
    <tableColumn id="1" xr3:uid="{D704C19B-3E83-4601-90A1-9FAE3F6191A0}" name="Ford" dataDxfId="200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34E0918-F493-4F5A-9625-02AA2648B04B}" name="Kia" displayName="Kia" ref="M1:M4" totalsRowShown="0" headerRowDxfId="199" tableBorderDxfId="198">
  <autoFilter ref="M1:M4" xr:uid="{381F6969-A3D8-4488-8698-B569B689703F}"/>
  <tableColumns count="1">
    <tableColumn id="1" xr3:uid="{18C17EEF-7DD7-4584-BE9B-7316ACF850A9}" name="Kia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E3D0172-AAFC-4F42-BE7F-C6B715004706}" name="Joylong" displayName="Joylong" ref="N1:N2" totalsRowShown="0" headerRowDxfId="197" tableBorderDxfId="196">
  <autoFilter ref="N1:N2" xr:uid="{B33DA9BD-F792-41BC-A02F-5160E6A07AD5}"/>
  <tableColumns count="1">
    <tableColumn id="1" xr3:uid="{90335E46-8E7E-4615-A1A3-A5C042E25659}" name="Joylong" dataDxfId="195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0AE3907-F668-467D-9BB4-52FA983F56B6}" name="Foton" displayName="Foton" ref="O1:O4" totalsRowShown="0" headerRowDxfId="194" tableBorderDxfId="193">
  <autoFilter ref="O1:O4" xr:uid="{FFE18B30-BAE4-4937-8A2D-A5C052AE0988}"/>
  <tableColumns count="1">
    <tableColumn id="1" xr3:uid="{619A178A-F4B6-4D49-BF2C-9C8E5A07B280}" name="Foton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BA102B6-3495-48CB-9864-BFC58C702903}" name="SsangYoung" displayName="SsangYoung" ref="P1:P2" totalsRowShown="0" headerRowDxfId="192" tableBorderDxfId="191">
  <autoFilter ref="P1:P2" xr:uid="{E968EF26-4EBA-4E6B-BC9E-99A1ABA06834}"/>
  <tableColumns count="1">
    <tableColumn id="1" xr3:uid="{8C73DA13-8B63-4327-A6C6-5B348267BD5A}" name="SsangYoung" dataDxfId="190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6C060EA-8ADF-4CB5-A2BE-E5A28B1B6854}" name="Mahindra" displayName="Mahindra" ref="Q1:Q2" totalsRowShown="0" headerRowDxfId="189" tableBorderDxfId="188">
  <autoFilter ref="Q1:Q2" xr:uid="{346FCF1D-C496-4560-BBFB-AB1B0A8B39C4}"/>
  <tableColumns count="1">
    <tableColumn id="1" xr3:uid="{E72B789C-167C-4C71-9709-9FEE3D1E1F1C}" name="Mahindra" dataDxfId="187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B04DD63-2D8D-47EC-B7E8-722635335740}" name="Honeli" displayName="Honeli" ref="R1:R2" totalsRowShown="0" headerRowDxfId="186" dataDxfId="185" tableBorderDxfId="184">
  <autoFilter ref="R1:R2" xr:uid="{22A84D3B-4A72-47C2-88A7-9A07A445AB9B}"/>
  <tableColumns count="1">
    <tableColumn id="1" xr3:uid="{747C39C8-5033-4ADD-8560-87A9D908C50F}" name="Honeli" dataDxfId="183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4DB9262-75EC-4DF1-A555-B247E8B13AEF}" name="Toyota" displayName="Toyota" ref="B1:B11" totalsRowShown="0" headerRowDxfId="182" dataDxfId="181" tableBorderDxfId="180">
  <autoFilter ref="B1:B11" xr:uid="{80514370-EE78-4BEF-ADAF-468836DE9161}"/>
  <tableColumns count="1">
    <tableColumn id="1" xr3:uid="{7BABDC6D-6464-45A0-A3E3-CD040B2853D9}" name="Toyota" dataDxfId="17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A587D85-FD0F-4369-B02A-E6EA2493B8EB}" name="Types" displayName="Types" ref="A1:A57" totalsRowShown="0" headerRowDxfId="178" dataDxfId="177">
  <autoFilter ref="A1:A57" xr:uid="{B075139A-A85D-4330-B2BE-F44027899642}"/>
  <tableColumns count="1">
    <tableColumn id="1" xr3:uid="{694A93DF-F5C2-4E7A-9549-CAA85180AB8C}" name="Types" dataDxfId="17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F533959-0B68-4349-892A-99A00686E92F}" name="Nissan" displayName="Nissan" ref="C1:C6" totalsRowShown="0" headerRowDxfId="228" dataDxfId="227" tableBorderDxfId="226" dataCellStyle="Currency">
  <autoFilter ref="C1:C6" xr:uid="{2F7556CD-C0D5-4BEE-B3EC-E81C0471FBFA}"/>
  <tableColumns count="1">
    <tableColumn id="1" xr3:uid="{34A9B892-9045-40F7-8BE9-3C6E69E6AFD0}" name="Nissan" dataDxfId="225" dataCellStyle="Currency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81348CC-8774-47F8-8480-7C1BC8D4A3A4}" name="FourRunner" displayName="FourRunner" ref="B1:B2" totalsRowShown="0" headerRowDxfId="175" dataDxfId="174" dataCellStyle="Currency">
  <autoFilter ref="B1:B2" xr:uid="{CF1B2AD8-A251-446D-BB98-EC111E03A881}"/>
  <tableColumns count="1">
    <tableColumn id="1" xr3:uid="{16AD3115-9CAE-47E0-9EDB-B6F48D2C9095}" name="4Runner" dataDxfId="173" dataCellStyle="Currency"/>
  </tableColumns>
  <tableStyleInfo name="TableStyleLight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1F7640-389F-4455-BCDC-2950FF608C16}" name="Fortuner" displayName="Fortuner" ref="C1:C2" totalsRowShown="0" headerRowDxfId="172" dataDxfId="171" dataCellStyle="Currency">
  <autoFilter ref="C1:C2" xr:uid="{B04857D5-A2C4-47D3-9834-1CE6E61CB7BF}"/>
  <tableColumns count="1">
    <tableColumn id="1" xr3:uid="{089A5333-E9E2-46F0-A8F5-E5917C089BEA}" name="Fortuner" dataDxfId="170" dataCellStyle="Currency"/>
  </tableColumns>
  <tableStyleInfo name="TableStyleLight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E861EAB-0689-48E1-89CA-8842947CE41D}" name="HiaceVan" displayName="HiaceVan" ref="D1:D4" totalsRowShown="0" headerRowDxfId="169" dataDxfId="168" dataCellStyle="Currency">
  <autoFilter ref="D1:D4" xr:uid="{09CE7457-F49E-43A6-A93E-9804E7C60F25}"/>
  <tableColumns count="1">
    <tableColumn id="1" xr3:uid="{7126DDEF-6AA4-45FC-92C9-75F76984B07C}" name="Hiace Van" dataDxfId="167" dataCellStyle="Currency"/>
  </tableColumns>
  <tableStyleInfo name="TableStyleLight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7CE53CC-AC4F-4B9D-A341-55342B66847A}" name="Hilux" displayName="Hilux" ref="E1:E7" totalsRowShown="0" headerRowDxfId="166" dataDxfId="165" dataCellStyle="Currency">
  <autoFilter ref="E1:E7" xr:uid="{7C055989-145B-4BA2-B950-3D64D380F475}"/>
  <tableColumns count="1">
    <tableColumn id="1" xr3:uid="{C5401AFC-FFE8-4D24-A431-F1E3559D3191}" name="Hilux" dataDxfId="164" dataCellStyle="Currency"/>
  </tableColumns>
  <tableStyleInfo name="TableStyleLight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9E9057F-869C-4F0B-94D1-A2F7102BB13D}" name="Table21" displayName="Table21" ref="F1:F2" totalsRowShown="0" headerRowDxfId="163" dataDxfId="162" dataCellStyle="Currency">
  <autoFilter ref="F1:F2" xr:uid="{63947C7A-D9BB-4859-893E-F325429FCAC6}"/>
  <tableColumns count="1">
    <tableColumn id="1" xr3:uid="{00C36150-5D61-4C65-87DC-E29BFA65A30D}" name="Landcruiser" dataDxfId="161" dataCellStyle="Currency"/>
  </tableColumns>
  <tableStyleInfo name="TableStyleLight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6FF95AF-74C6-49EC-BE57-D0D1D2850815}" name="PradoGKMEE" displayName="PradoGKMEE" ref="G1:G3" totalsRowShown="0" headerRowDxfId="160" dataDxfId="159" dataCellStyle="Currency">
  <autoFilter ref="G1:G3" xr:uid="{128EFFDE-40F1-45A7-B9C2-04B746D65EE5}"/>
  <tableColumns count="1">
    <tableColumn id="1" xr3:uid="{1DD21FF6-04B5-4461-BED6-0735EC2AD394}" name=" PradoGKMEE" dataDxfId="158" dataCellStyle="Currency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2D0A341-2693-4612-B42D-6C9C4F9434BD}" name="PradoTXL_Low" displayName="PradoTXL_Low" ref="H1:H3" totalsRowShown="0" headerRowDxfId="157" dataDxfId="156" dataCellStyle="Currency">
  <autoFilter ref="H1:H3" xr:uid="{647336EB-0641-48B4-AB32-68D5BCBCFAEA}"/>
  <tableColumns count="1">
    <tableColumn id="1" xr3:uid="{7F34AA40-04ED-4E11-A20B-20D9C9856A8F}" name=" Prado TXL (Low)" dataDxfId="155" dataCellStyle="Currency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E27B284-7C7B-4B09-8945-D490A8B31BFD}" name="PradoTXL_High" displayName="PradoTXL_High" ref="I1:I2" totalsRowShown="0" headerRowDxfId="154" dataDxfId="153" dataCellStyle="Currency">
  <autoFilter ref="I1:I2" xr:uid="{8E70688A-2FE9-49DE-9224-27CEF0608F68}"/>
  <tableColumns count="1">
    <tableColumn id="1" xr3:uid="{ECDA306C-A4E8-4F11-8026-50422F4C0462}" name=" Prado TXL (High)" dataDxfId="152" dataCellStyle="Currency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369F83F-73EA-4CA5-839C-2A21758F8A7F}" name="PradoVXL" displayName="PradoVXL" ref="J1:J3" totalsRowShown="0" headerRowDxfId="151" dataDxfId="150" dataCellStyle="Currency">
  <autoFilter ref="J1:J3" xr:uid="{2853BBB5-7409-4558-831F-A471B353921B}"/>
  <tableColumns count="1">
    <tableColumn id="1" xr3:uid="{FECECD59-2D5D-4A6A-8E63-48DEB2BD945D}" name=" Prado VXL" dataDxfId="149" dataCellStyle="Currency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A76EF01-0102-4B7D-B409-044C7055E0E3}" name="RavFour" displayName="RavFour" ref="K1:K3" totalsRowShown="0" headerRowDxfId="148" dataDxfId="147" dataCellStyle="Currency">
  <autoFilter ref="K1:K3" xr:uid="{506D3FA4-5820-4B03-BFA3-16ED0E3826FF}"/>
  <tableColumns count="1">
    <tableColumn id="1" xr3:uid="{415A4D17-7E46-4A40-A182-D18FB64FCE3F}" name=" Rav4" dataDxfId="146" dataCellStyle="Currency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EFD7B16-E8CD-44A4-B985-9DB561DF48E2}" name="Mazda" displayName="Mazda" ref="D1:D2" totalsRowShown="0" headerRowDxfId="224" tableBorderDxfId="223">
  <autoFilter ref="D1:D2" xr:uid="{7FEA7CA0-531B-48F7-9960-0E278B0B6695}"/>
  <tableColumns count="1">
    <tableColumn id="1" xr3:uid="{DF9A273B-FF9A-425F-ACEF-DDC27121531E}" name="Mazda" dataDxfId="222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2EFDDC4-C309-403E-8E3D-9FF661FE0AC2}" name="Frontier" displayName="Frontier" ref="L1:L5" totalsRowShown="0" headerRowDxfId="145" dataDxfId="144">
  <autoFilter ref="L1:L5" xr:uid="{8DC47473-C785-4436-9CAB-5E9687ABDD58}"/>
  <tableColumns count="1">
    <tableColumn id="1" xr3:uid="{BF6C0ED9-858B-4AC8-BDCC-1D5DE3697E8E}" name=" Frontier" dataDxfId="143"/>
  </tableColumns>
  <tableStyleInfo name="TableStyleLight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80E50E4-5ED0-4853-907A-C7BDA8A7A119}" name="Navarra" displayName="Navarra" ref="M1:M6" totalsRowShown="0" headerRowDxfId="142" dataDxfId="141">
  <autoFilter ref="M1:M6" xr:uid="{203B1F9F-1AB0-4972-AB9C-E0AD7F21F761}"/>
  <tableColumns count="1">
    <tableColumn id="1" xr3:uid="{DE2E0939-94EB-4191-8959-62B739F66140}" name=" Navarra" dataDxfId="140"/>
  </tableColumns>
  <tableStyleInfo name="TableStyleLight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5AA2565-7B4B-402D-BE4A-C056DCBC8195}" name="Qashqai" displayName="Qashqai" ref="N1:N2" totalsRowShown="0" headerRowDxfId="139" dataDxfId="138" dataCellStyle="Currency">
  <autoFilter ref="N1:N2" xr:uid="{605BC785-3ADB-41A5-AB9B-8247495E6C1C}"/>
  <tableColumns count="1">
    <tableColumn id="1" xr3:uid="{E6441FEF-ACAC-472B-9CC0-ED363851F976}" name=" Qashqai" dataDxfId="137" dataCellStyle="Currency"/>
  </tableColumns>
  <tableStyleInfo name="TableStyleLight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68000ED-0CA2-4EB1-B98B-67E4A20886A1}" name="Urvan" displayName="Urvan" ref="O1:O3" totalsRowShown="0" headerRowDxfId="136" dataDxfId="135">
  <autoFilter ref="O1:O3" xr:uid="{14041E69-0807-47A5-9866-B4E8DE7646C6}"/>
  <tableColumns count="1">
    <tableColumn id="1" xr3:uid="{7DFE5A2B-3211-4E08-8D3F-203E55FF83B1}" name="Urvan" dataDxfId="134"/>
  </tableColumns>
  <tableStyleInfo name="TableStyleLight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8404157-DBA1-48CE-801F-8C23323BFD76}" name="Xtrail" displayName="Xtrail" ref="P1:P3" totalsRowShown="0" headerRowDxfId="133" dataDxfId="132" headerRowCellStyle="Currency">
  <autoFilter ref="P1:P3" xr:uid="{BDE21DD1-A9AD-43E8-804F-30EBCF1C4B86}"/>
  <tableColumns count="1">
    <tableColumn id="1" xr3:uid="{3127DBA2-BCB7-4807-9C76-3EF512E4A6A5}" name="Xtrail" dataDxfId="131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E96BBA5-E004-4B5F-9BDD-0BA35471D41C}" name="BT_FiftyPickup" displayName="BT_FiftyPickup" ref="Q1:Q13" totalsRowShown="0" headerRowDxfId="130" dataDxfId="129">
  <autoFilter ref="Q1:Q13" xr:uid="{5612B012-755D-4A6F-BAB8-5F16F285F033}"/>
  <tableColumns count="1">
    <tableColumn id="1" xr3:uid="{062621E3-97A5-44C1-9182-38B0D9D69A3A}" name=" BT-50 Pickup" dataDxfId="128"/>
  </tableColumns>
  <tableStyleInfo name="TableStyleLight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8907962-640D-4F2B-8D11-549E72D598E1}" name="L_TwoHundGL" displayName="L_TwoHundGL" ref="R1:R3" totalsRowShown="0" headerRowDxfId="127" dataDxfId="126">
  <autoFilter ref="R1:R3" xr:uid="{C2917CD5-F533-46E5-9568-3642936BAF45}"/>
  <tableColumns count="1">
    <tableColumn id="1" xr3:uid="{1FEE89A1-F990-4718-86A7-25F7CD086D56}" name=" L200 GL" dataDxfId="125"/>
  </tableColumns>
  <tableStyleInfo name="TableStyleLight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FD8FC12-274E-4B84-B91E-ECBE1147296F}" name="L_TwoHundGLS" displayName="L_TwoHundGLS" ref="S1:S3" totalsRowShown="0" headerRowDxfId="124" dataDxfId="123">
  <autoFilter ref="S1:S3" xr:uid="{9D6A2423-9943-4A2A-93F0-E7DEB0A8D040}"/>
  <tableColumns count="1">
    <tableColumn id="1" xr3:uid="{8C61743A-5333-41EA-984A-A7071DA68E0F}" name=" L200 GLS" dataDxfId="122"/>
  </tableColumns>
  <tableStyleInfo name="TableStyleLight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8F659AB-893E-49B9-B835-D718158CDFBF}" name="L_TwoHundGLX" displayName="L_TwoHundGLX" ref="T1:T2" totalsRowShown="0" headerRowDxfId="121" dataDxfId="120">
  <autoFilter ref="T1:T2" xr:uid="{B4C03F12-23C2-463E-8576-414B2B1E5096}"/>
  <tableColumns count="1">
    <tableColumn id="1" xr3:uid="{F0625458-F7BA-47BC-A394-47E549AAFB17}" name=" L200 GLX" dataDxfId="119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F7253B6-8710-4350-B07D-D41A007FBADF}" name="Montero" displayName="Montero" ref="U1:U3" totalsRowShown="0" headerRowDxfId="118" dataDxfId="117">
  <autoFilter ref="U1:U3" xr:uid="{B430F4D1-DF9B-498C-B711-B8E1E58999B4}"/>
  <tableColumns count="1">
    <tableColumn id="1" xr3:uid="{0093F34E-88AF-4BB0-8E24-392C21D16703}" name=" Montero" dataDxfId="116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676B9E-40B5-4FB1-AB41-1E0FEBDE763B}" name="Mitsubishi" displayName="Mitsubishi" ref="E1:E6" totalsRowShown="0" headerRowDxfId="221" tableBorderDxfId="220">
  <autoFilter ref="E1:E6" xr:uid="{316C4DF7-1CD5-4246-AA86-55D9910822ED}"/>
  <tableColumns count="1">
    <tableColumn id="1" xr3:uid="{5E3A2C93-0A72-4050-BE08-99396E171CF2}" name="Mitsubishi" dataDxfId="219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5072915-4F39-4B3F-85D6-86F5691CD675}" name="Nativa" displayName="Nativa" ref="V1:V2" totalsRowShown="0" headerRowDxfId="115" dataDxfId="114">
  <autoFilter ref="V1:V2" xr:uid="{402B0663-0F53-40AC-9C54-19EFF8FD1043}"/>
  <tableColumns count="1">
    <tableColumn id="1" xr3:uid="{6F90EA03-D8BD-486A-AF23-D6B69209FCDC}" name=" Nativa" dataDxfId="113"/>
  </tableColumns>
  <tableStyleInfo name="TableStyleLight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5C59516-9EC3-4B63-AF77-FDB142B9930F}" name="Table41" displayName="Table41" ref="W1:W2" totalsRowShown="0" headerRowDxfId="112" dataDxfId="111">
  <autoFilter ref="W1:W2" xr:uid="{5B4C9460-38AD-42E5-8EE0-FD4AF842749E}"/>
  <tableColumns count="1">
    <tableColumn id="1" xr3:uid="{33760747-6BA1-4007-91D1-D462E4796C7C}" name=" APV Panel van" dataDxfId="110"/>
  </tableColumns>
  <tableStyleInfo name="TableStyleLight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88AAC46-B363-433B-B091-F7032EF0F43D}" name="Table42" displayName="Table42_1" ref="X1:X3" totalsRowShown="0" headerRowDxfId="109" dataDxfId="108">
  <autoFilter ref="X1:X3" xr:uid="{2D63F358-2D24-4087-8B75-A20743D91077}"/>
  <tableColumns count="1">
    <tableColumn id="1" xr3:uid="{0DD2A7A9-3BFA-4BB5-8CAD-9223C47924DC}" name=" Grand Vitara 2.4L" dataDxfId="107"/>
  </tableColumns>
  <tableStyleInfo name="TableStyleLight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8E60CCF-A9FA-4546-A4EB-6E4397F7BFB4}" name="Table43" displayName="Table43" ref="Y1:Y2" totalsRowShown="0" headerRowDxfId="106" dataDxfId="105">
  <autoFilter ref="Y1:Y2" xr:uid="{69521D4B-624F-4A49-942B-76A7D44EA4B1}"/>
  <tableColumns count="1">
    <tableColumn id="1" xr3:uid="{70852C4E-28F0-4D17-8C00-9D510B410155}" name=" Jimny" dataDxfId="104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0BB65B9-DC66-4A0E-9D74-C75156051CC9}" name="Table44" displayName="Table44" ref="Z1:Z2" totalsRowShown="0" headerRowDxfId="103" dataDxfId="102">
  <autoFilter ref="Z1:Z2" xr:uid="{76EBB680-2DD4-4341-B459-CCBE6449D110}"/>
  <tableColumns count="1">
    <tableColumn id="1" xr3:uid="{C48D8F8A-2036-4A6F-9D73-EB7E8D8F5049}" name=" Accent" dataDxfId="101"/>
  </tableColumns>
  <tableStyleInfo name="TableStyleLight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0086537-20FD-40CE-800E-08E603548DA6}" name="Table45" displayName="Table45" ref="AA1:AA2" totalsRowShown="0" headerRowDxfId="100" dataDxfId="99">
  <autoFilter ref="AA1:AA2" xr:uid="{AEB582F3-F743-4A87-B183-D0D2F73ED5DA}"/>
  <tableColumns count="1">
    <tableColumn id="1" xr3:uid="{4235AC67-96A5-4D34-BFDB-B03F21D27C97}" name=" Elantra" dataDxfId="98"/>
  </tableColumns>
  <tableStyleInfo name="TableStyleLight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34354211-17BF-478D-9437-93F46666D210}" name="Table46" displayName="Table46_1" ref="AB1:AB2" totalsRowShown="0" headerRowDxfId="97" dataDxfId="96">
  <autoFilter ref="AB1:AB2" xr:uid="{A0B78E19-185E-4559-872B-ED8038C14A02}"/>
  <tableColumns count="1">
    <tableColumn id="1" xr3:uid="{27819BE3-C31A-40C0-A9AF-41253ED9B4E5}" name=" H-1" dataDxfId="95"/>
  </tableColumns>
  <tableStyleInfo name="TableStyleLight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9299207-ADC2-49E6-9CCB-95F1A0688637}" name="Table47" displayName="Table47" ref="AC1:AC5" totalsRowShown="0" headerRowDxfId="94" dataDxfId="93">
  <autoFilter ref="AC1:AC5" xr:uid="{A23AD7F4-90FB-48D0-B2BF-DFEC8D6F6E1E}"/>
  <tableColumns count="1">
    <tableColumn id="1" xr3:uid="{33008F4D-7F0F-41DA-82FD-9198792FBD62}" name=" H100" dataDxfId="92"/>
  </tableColumns>
  <tableStyleInfo name="TableStyleLight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FD7E6C57-DC87-43DB-B09E-DEF1CD0A21A2}" name="Table48" displayName="Table48" ref="AD1:AD2" totalsRowShown="0" headerRowDxfId="91" dataDxfId="90">
  <autoFilter ref="AD1:AD2" xr:uid="{F93F0C17-2B6E-4366-86A4-B8208786C019}"/>
  <tableColumns count="1">
    <tableColumn id="1" xr3:uid="{608CC30D-D1AC-425A-863B-8C5FA708CC8E}" name=" i10" dataDxfId="89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BA65275-0979-4C8E-8E11-E9A921CDE68B}" name="Table49" displayName="Table49" ref="AE1:AE4" totalsRowShown="0" headerRowDxfId="88" dataDxfId="87">
  <autoFilter ref="AE1:AE4" xr:uid="{0D24E533-F5C4-420B-B1A0-24EF1EAC3547}"/>
  <tableColumns count="1">
    <tableColumn id="1" xr3:uid="{046B7235-4C69-4747-96AD-BCC718EE4862}" name=" Santa Fe" dataDxfId="86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2A139F-A61F-45BC-A583-628EDEB39D47}" name="Suzuki" displayName="Suzuki" ref="F1:F4" totalsRowShown="0" headerRowDxfId="218" tableBorderDxfId="217">
  <autoFilter ref="F1:F4" xr:uid="{FE4EFD97-961D-41F8-93DC-D8C7040BEFED}"/>
  <tableColumns count="1">
    <tableColumn id="1" xr3:uid="{22F930D5-689A-4BC5-A757-99EB3F3D2A18}" name="Suzuki" dataDxfId="21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DE88962-74E1-4251-992C-B947296AD131}" name="Table50" displayName="Table50" ref="AF1:AF2" totalsRowShown="0" headerRowDxfId="85" dataDxfId="84">
  <autoFilter ref="AF1:AF2" xr:uid="{046D15D3-C7FD-402C-A0E8-D103A3FE82EA}"/>
  <tableColumns count="1">
    <tableColumn id="1" xr3:uid="{144011C2-5B7F-4474-ADD0-0AC7FC5D824C}" name=" Sonata" dataDxfId="83"/>
  </tableColumns>
  <tableStyleInfo name="TableStyleLight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F0D5E25-5F5C-4E61-B407-EE7CA66C4F38}" name="Table51" displayName="Table51" ref="AG1:AG2" totalsRowShown="0" headerRowDxfId="82" dataDxfId="81">
  <autoFilter ref="AG1:AG2" xr:uid="{8A7CCD69-00C5-47CA-87BF-CD1FD5217711}"/>
  <tableColumns count="1">
    <tableColumn id="1" xr3:uid="{6403108E-1DE2-4173-8720-AD84A29B550A}" name=" Tuscon" dataDxfId="80"/>
  </tableColumns>
  <tableStyleInfo name="TableStyleLight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DF9E2AA-39CB-4196-B32F-D972FBC3C82D}" name="Table52" displayName="Table52" ref="AH1:AH2" totalsRowShown="0" headerRowDxfId="79" dataDxfId="78">
  <autoFilter ref="AH1:AH2" xr:uid="{EB133695-67B2-4B2E-980B-166CA65BF715}"/>
  <tableColumns count="1">
    <tableColumn id="1" xr3:uid="{F0AE0A7A-C46C-4ED4-BCE4-69CD3346DD22}" name="H2" dataDxfId="77"/>
  </tableColumns>
  <tableStyleInfo name="TableStyleLight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FECE9FB-9635-41ED-820C-802F2C134326}" name="Table53" displayName="Table53" ref="AI1:AI2" totalsRowShown="0" headerRowDxfId="76" dataDxfId="75">
  <autoFilter ref="AI1:AI2" xr:uid="{8E82E9CC-124F-46A2-B5A7-1917E4AF60F4}"/>
  <tableColumns count="1">
    <tableColumn id="1" xr3:uid="{42599C22-2E40-4AB7-AACB-30272F8B1B88}" name="H6" dataDxfId="74"/>
  </tableColumns>
  <tableStyleInfo name="TableStyleLight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A281358-9836-4D42-9227-DE969B7EA98F}" name="Table54" displayName="Table54" ref="AJ1:AJ2" totalsRowShown="0" headerRowDxfId="73" dataDxfId="72">
  <autoFilter ref="AJ1:AJ2" xr:uid="{480417CE-2B1A-4742-9C6D-95F5FF377AB2}"/>
  <tableColumns count="1">
    <tableColumn id="1" xr3:uid="{BCF57383-EEF2-460D-A158-485506843531}" name="H9" dataDxfId="71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BD7B64C-0E09-40EF-BEBD-81C19C9627B3}" name="Table55" displayName="Table55" ref="AK1:AK17" totalsRowShown="0" headerRowDxfId="70" dataDxfId="69">
  <autoFilter ref="AK1:AK17" xr:uid="{0028E272-650D-47EE-B812-05FE40DD46AF}"/>
  <tableColumns count="1">
    <tableColumn id="1" xr3:uid="{59D6F246-ECA1-459C-9418-FC950DA43FF9}" name=" Wingle" dataDxfId="68"/>
  </tableColumns>
  <tableStyleInfo name="TableStyleLight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A6AC7EE-FFEC-42F3-B53B-D65157F6A259}" name="Table56" displayName="Table56" ref="AL1:AL10" totalsRowShown="0" headerRowDxfId="67" dataDxfId="66">
  <autoFilter ref="AL1:AL10" xr:uid="{66D8453D-8033-42AF-B44D-10067E60A849}"/>
  <tableColumns count="1">
    <tableColumn id="1" xr3:uid="{0D5CD35E-6C8F-4046-99C0-E339361A5E4F}" name=" Amarok" dataDxfId="65"/>
  </tableColumns>
  <tableStyleInfo name="TableStyleLight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7EABBD1-7E70-41E1-A39B-B781B5D57222}" name="Table57" displayName="Table57_1" ref="AM1:AM10" totalsRowShown="0" headerRowDxfId="64" dataDxfId="63">
  <autoFilter ref="AM1:AM10" xr:uid="{A214820A-FD0E-4CC6-BCD5-3D04B6C36F2D}"/>
  <tableColumns count="1">
    <tableColumn id="1" xr3:uid="{F3DD16AD-53D4-48C4-B796-2FEC977AB03C}" name="DMax" dataDxfId="62"/>
  </tableColumns>
  <tableStyleInfo name="TableStyleLight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E50C3FD-DFDB-4FAF-9F2B-7E0348B4E054}" name="Table58" displayName="Table58_1" ref="AN1:AN3" totalsRowShown="0" headerRowDxfId="61" dataDxfId="60">
  <autoFilter ref="AN1:AN3" xr:uid="{E93C3C33-B78C-4DE0-BD43-21EC8594B5B2}"/>
  <tableColumns count="1">
    <tableColumn id="1" xr3:uid="{3B3EF1AE-8637-4580-AD89-4BAC93DF8243}" name="mux" dataDxfId="59"/>
  </tableColumns>
  <tableStyleInfo name="TableStyleLight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7A25FE9-9014-4D65-83BB-7FA127BD2A60}" name="Table59" displayName="Table59" ref="AO1:AO3" totalsRowShown="0" headerRowDxfId="58" dataDxfId="57">
  <autoFilter ref="AO1:AO3" xr:uid="{5451B04C-DA6E-4E5E-8DC3-C5FD9D72A073}"/>
  <tableColumns count="1">
    <tableColumn id="1" xr3:uid="{F61BC6D4-0B0C-41AA-868D-2C0B8F0304AA}" name=" NPR" dataDxfId="56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A7718BB-2AAC-4431-A311-3F2A3E86029B}" name="H" displayName="H" ref="G1:G9" totalsRowShown="0" headerRowDxfId="215" tableBorderDxfId="214">
  <autoFilter ref="G1:G9" xr:uid="{69B95837-CB4C-4AD5-B4FE-D24B65343627}"/>
  <tableColumns count="1">
    <tableColumn id="1" xr3:uid="{C823F257-4101-4433-AD1B-55758CEB1CE1}" name="Hyundai" dataDxfId="213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E1177BD-A302-4225-8B0C-2CD8F0943B80}" name="Table60" displayName="Table60" ref="AP1:AP2" totalsRowShown="0" headerRowDxfId="55" dataDxfId="54">
  <autoFilter ref="AP1:AP2" xr:uid="{9F8895A4-10E0-4706-9A2D-0A370C2B48C5}"/>
  <tableColumns count="1">
    <tableColumn id="1" xr3:uid="{E752DE81-ECD3-4196-9A7C-9EC388B68325}" name=" Pickup" dataDxfId="53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8093B230-7114-4D01-B0DF-C5A0481A0BE7}" name="QKR" displayName="QKR" ref="AQ1:AQ2" totalsRowShown="0" headerRowDxfId="52" dataDxfId="51">
  <autoFilter ref="AQ1:AQ2" xr:uid="{4541FA2F-4006-455C-82C2-9D1991A3BEA7}"/>
  <tableColumns count="1">
    <tableColumn id="1" xr3:uid="{EE492521-0472-44F1-926C-EEF611C84991}" name="QKR" dataDxfId="50"/>
  </tableColumns>
  <tableStyleInfo name="TableStyleLight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97CDA92-696D-44F1-94E4-852AAD4983FB}" name="Table62" displayName="Table62" ref="AR1:AR3" totalsRowShown="0" headerRowDxfId="49" dataDxfId="48">
  <autoFilter ref="AR1:AR3" xr:uid="{35E39C34-CFBA-4714-969F-05838378D939}"/>
  <tableColumns count="1">
    <tableColumn id="1" xr3:uid="{2334C9D9-A7BB-4A97-A29E-72520B1EB290}" name=" Ecosport" dataDxfId="47"/>
  </tableColumns>
  <tableStyleInfo name="TableStyleLight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DB0F636-2B93-44ED-B5FE-B50A7775C2F6}" name="Table63" displayName="Table63" ref="AS1:AS2" totalsRowShown="0" headerRowDxfId="46" dataDxfId="45">
  <autoFilter ref="AS1:AS2" xr:uid="{A2AFDF53-D451-4705-80EE-FBFFC3F8EFF1}"/>
  <tableColumns count="1">
    <tableColumn id="1" xr3:uid="{81A43967-E57A-4D4F-8DFE-DF1B5675DAF2}" name=" Explorer" dataDxfId="44"/>
  </tableColumns>
  <tableStyleInfo name="TableStyleLight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BAD8B00-BBC3-40DB-B12B-C615A294E2E0}" name="Table64" displayName="Table64" ref="AT1:AT11" totalsRowShown="0" headerRowDxfId="43" dataDxfId="42">
  <autoFilter ref="AT1:AT11" xr:uid="{018251E9-5A2A-4067-8B00-EB8C0BC9F897}"/>
  <tableColumns count="1">
    <tableColumn id="1" xr3:uid="{75AD92FD-9D8D-4717-BCA3-B2BB9E729A92}" name=" Ranger" dataDxfId="41"/>
  </tableColumns>
  <tableStyleInfo name="TableStyleLight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FB33AD6A-EC2D-471B-97DC-ECCAF79C28AF}" name="Table65" displayName="Table65" ref="AU1:AU2" totalsRowShown="0" headerRowDxfId="40" dataDxfId="39">
  <autoFilter ref="AU1:AU2" xr:uid="{AABC0E07-24D7-47A6-B2AB-C9D607C7212F}"/>
  <tableColumns count="1">
    <tableColumn id="1" xr3:uid="{D1B35909-7DB3-43ED-A9CF-2B8016C634AF}" name=" Transit " dataDxfId="38"/>
  </tableColumns>
  <tableStyleInfo name="TableStyleLight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B463A98-7738-43C0-963C-1EB85E1464AF}" name="Table66" displayName="Table66" ref="AV1:AV2" totalsRowShown="0" headerRowDxfId="37" dataDxfId="36">
  <autoFilter ref="AV1:AV2" xr:uid="{FFB6CD3A-D300-4AFC-BA17-9D3CBF91B4F5}"/>
  <tableColumns count="1">
    <tableColumn id="1" xr3:uid="{F7036190-2BD6-44EE-9593-8B1AEB75A304}" name=" Transit Connect" dataDxfId="35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B633561D-7330-40F7-A06D-8B7E5419A251}" name="KTwentySevenHundred" displayName="KTwentySevenHundred" ref="AW1:AW3" totalsRowShown="0" headerRowDxfId="34" dataDxfId="33">
  <autoFilter ref="AW1:AW3" xr:uid="{213728E0-86A1-4E60-833D-28967AB21F50}"/>
  <tableColumns count="1">
    <tableColumn id="1" xr3:uid="{048D737A-E37C-472A-AEA7-CFD4C28F5552}" name=" K2700" dataDxfId="32"/>
  </tableColumns>
  <tableStyleInfo name="TableStyleLight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17DD8CDA-3F40-4F65-A13E-65DB0906BD1A}" name="Table68" displayName="Table68" ref="AX1:AX2" totalsRowShown="0" headerRowDxfId="31" dataDxfId="30">
  <autoFilter ref="AX1:AX2" xr:uid="{0E5A0657-FC97-4750-9A1C-1C415756C5B8}"/>
  <tableColumns count="1">
    <tableColumn id="1" xr3:uid="{CF7331E4-75AE-46BE-AD9E-CAE4AB7FA7C2}" name="Sorento" dataDxfId="29"/>
  </tableColumns>
  <tableStyleInfo name="TableStyleLight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9EF9D8D-A1E3-4F77-93C2-4DC6C74D0059}" name="Table69" displayName="Table69" ref="AY1:AY3" totalsRowShown="0" headerRowDxfId="28" dataDxfId="27">
  <autoFilter ref="AY1:AY3" xr:uid="{81F79135-C8CE-4580-AFE1-9769888ADB4A}"/>
  <tableColumns count="1">
    <tableColumn id="1" xr3:uid="{452453B5-1FA8-40E6-BC27-1955744527D9}" name="Sportage" dataDxfId="26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00CDCD7-537A-4A20-8DB3-D7BBF35A5A52}" name="Haval" displayName="Haval" ref="H1:H4" totalsRowShown="0" headerRowDxfId="212" tableBorderDxfId="211">
  <autoFilter ref="H1:H4" xr:uid="{22988A14-CA3B-4CD5-BE4B-1C42F275B200}"/>
  <tableColumns count="1">
    <tableColumn id="1" xr3:uid="{D7024DEA-A02E-41FF-9D57-045BD701442F}" name="Haval"/>
  </tableColumns>
  <tableStyleInfo name="TableStyleLight1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1E0C8AE1-CC29-4253-8B33-D2BAC49321A0}" name="Table70" displayName="Table70" ref="AZ1:AZ3" totalsRowShown="0" headerRowDxfId="25" dataDxfId="24">
  <autoFilter ref="AZ1:AZ3" xr:uid="{5EAFA060-B12E-4A97-AC0B-BF334FBBE6C2}"/>
  <tableColumns count="1">
    <tableColumn id="1" xr3:uid="{8451689E-7E23-4F4F-8A15-406EF25B4CA0}" name="Van" dataDxfId="23"/>
  </tableColumns>
  <tableStyleInfo name="TableStyleLight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1003A8D6-1EDC-4A3F-BC24-A33B255F4FA4}" name="Table71" displayName="Table71" ref="BA1:BA5" totalsRowShown="0" headerRowDxfId="22" dataDxfId="21">
  <autoFilter ref="BA1:BA5" xr:uid="{6634084F-FA62-4A0E-9394-BD0131AB5B15}"/>
  <tableColumns count="1">
    <tableColumn id="1" xr3:uid="{B1EB8DC5-C7DF-4FF5-98DF-5C28681CF3D9}" name=" Tunland" dataDxfId="20"/>
  </tableColumns>
  <tableStyleInfo name="TableStyleLight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33D11784-F6EC-4269-996A-B8D58A5564F3}" name="Toano" displayName="Toano" ref="BB1:BC3" totalsRowShown="0" headerRowDxfId="19" dataDxfId="18">
  <autoFilter ref="BB1:BC3" xr:uid="{2E305A5E-D7E7-4F4A-9975-E8859E85CD65}"/>
  <tableColumns count="2">
    <tableColumn id="1" xr3:uid="{B0EBD7FE-D360-40C8-9BE6-B2C4F469995C}" name=" View CS2" dataDxfId="17"/>
    <tableColumn id="2" xr3:uid="{33D59423-3FCB-43E8-AF36-01BB0E7C4484}" name="Toano" dataDxfId="16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9BD5C27B-3078-4651-AEC7-6FAB58EA6638}" name="ActyonSports" displayName="ActyonSports" ref="BD1:BD3" totalsRowShown="0" headerRowDxfId="15" dataDxfId="14">
  <autoFilter ref="BD1:BD3" xr:uid="{2AA73350-8AA3-410A-A9D4-387A47EDCDCA}"/>
  <tableColumns count="1">
    <tableColumn id="1" xr3:uid="{506D124B-A1C9-481D-8AAC-847B2CB17690}" name="Actyon Sports" dataDxfId="13"/>
  </tableColumns>
  <tableStyleInfo name="TableStyleLight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66E5307-E872-480A-ACFE-8669CE3E8551}" name="Pikup" displayName="Pikup" ref="BE1:BE8" totalsRowShown="0" headerRowDxfId="12" dataDxfId="11">
  <autoFilter ref="BE1:BE8" xr:uid="{64D5C7CC-8006-42BF-A83F-92359330866A}"/>
  <tableColumns count="1">
    <tableColumn id="1" xr3:uid="{8FA45EA9-F4BD-4D1B-868F-7D32CA3EB555}" name="Pik'up" dataDxfId="10"/>
  </tableColumns>
  <tableStyleInfo name="TableStyleLight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BAF0B596-8CFB-4231-B3AC-8073277A3447}" name="OneTwentyFivecc" displayName="OneTwentyFivecc" ref="BF1:BF2" totalsRowShown="0" headerRowDxfId="9" dataDxfId="8">
  <autoFilter ref="BF1:BF2" xr:uid="{79A858EE-A3DE-4BE7-BAB3-3D027480778E}"/>
  <tableColumns count="1">
    <tableColumn id="1" xr3:uid="{18FDA9E3-2FF0-43C4-88B6-74463DA11479}" name="125cc" dataDxfId="7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269806B-882C-499C-9094-AB158D5484D4}" name="GreatWall" displayName="GreatWall" ref="I1:I2" totalsRowShown="0" headerRowDxfId="210" tableBorderDxfId="209">
  <autoFilter ref="I1:I2" xr:uid="{4E1066BD-70CA-4BCB-AB47-5FC3574D968D}"/>
  <tableColumns count="1">
    <tableColumn id="1" xr3:uid="{54606378-2A9C-4AB6-957E-83DC189ED3C5}" name="Great Wall" dataDxfId="20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0815733-C7D8-48DB-881C-F14AFB0B8008}" name="Volkswagon" displayName="Volkswagon" ref="J1:J2" totalsRowShown="0" headerRowDxfId="207" tableBorderDxfId="206">
  <autoFilter ref="J1:J2" xr:uid="{33125B9D-492B-418B-931C-EC12D19C1EFA}"/>
  <tableColumns count="1">
    <tableColumn id="1" xr3:uid="{66183A0A-25DB-4F5C-8BC8-78EF593F9C48}" name="Volkswagon" dataDxfId="20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31.xml"/><Relationship Id="rId18" Type="http://schemas.openxmlformats.org/officeDocument/2006/relationships/table" Target="../tables/table36.xml"/><Relationship Id="rId26" Type="http://schemas.openxmlformats.org/officeDocument/2006/relationships/table" Target="../tables/table44.xml"/><Relationship Id="rId39" Type="http://schemas.openxmlformats.org/officeDocument/2006/relationships/table" Target="../tables/table57.xml"/><Relationship Id="rId21" Type="http://schemas.openxmlformats.org/officeDocument/2006/relationships/table" Target="../tables/table39.xml"/><Relationship Id="rId34" Type="http://schemas.openxmlformats.org/officeDocument/2006/relationships/table" Target="../tables/table52.xml"/><Relationship Id="rId42" Type="http://schemas.openxmlformats.org/officeDocument/2006/relationships/table" Target="../tables/table60.xml"/><Relationship Id="rId47" Type="http://schemas.openxmlformats.org/officeDocument/2006/relationships/table" Target="../tables/table65.xml"/><Relationship Id="rId50" Type="http://schemas.openxmlformats.org/officeDocument/2006/relationships/table" Target="../tables/table68.xml"/><Relationship Id="rId55" Type="http://schemas.openxmlformats.org/officeDocument/2006/relationships/table" Target="../tables/table73.xml"/><Relationship Id="rId7" Type="http://schemas.openxmlformats.org/officeDocument/2006/relationships/table" Target="../tables/table25.xml"/><Relationship Id="rId12" Type="http://schemas.openxmlformats.org/officeDocument/2006/relationships/table" Target="../tables/table30.xml"/><Relationship Id="rId17" Type="http://schemas.openxmlformats.org/officeDocument/2006/relationships/table" Target="../tables/table35.xml"/><Relationship Id="rId25" Type="http://schemas.openxmlformats.org/officeDocument/2006/relationships/table" Target="../tables/table43.xml"/><Relationship Id="rId33" Type="http://schemas.openxmlformats.org/officeDocument/2006/relationships/table" Target="../tables/table51.xml"/><Relationship Id="rId38" Type="http://schemas.openxmlformats.org/officeDocument/2006/relationships/table" Target="../tables/table56.xml"/><Relationship Id="rId46" Type="http://schemas.openxmlformats.org/officeDocument/2006/relationships/table" Target="../tables/table64.xml"/><Relationship Id="rId2" Type="http://schemas.openxmlformats.org/officeDocument/2006/relationships/table" Target="../tables/table20.xml"/><Relationship Id="rId16" Type="http://schemas.openxmlformats.org/officeDocument/2006/relationships/table" Target="../tables/table34.xml"/><Relationship Id="rId20" Type="http://schemas.openxmlformats.org/officeDocument/2006/relationships/table" Target="../tables/table38.xml"/><Relationship Id="rId29" Type="http://schemas.openxmlformats.org/officeDocument/2006/relationships/table" Target="../tables/table47.xml"/><Relationship Id="rId41" Type="http://schemas.openxmlformats.org/officeDocument/2006/relationships/table" Target="../tables/table59.xml"/><Relationship Id="rId54" Type="http://schemas.openxmlformats.org/officeDocument/2006/relationships/table" Target="../tables/table72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11" Type="http://schemas.openxmlformats.org/officeDocument/2006/relationships/table" Target="../tables/table29.xml"/><Relationship Id="rId24" Type="http://schemas.openxmlformats.org/officeDocument/2006/relationships/table" Target="../tables/table42.xml"/><Relationship Id="rId32" Type="http://schemas.openxmlformats.org/officeDocument/2006/relationships/table" Target="../tables/table50.xml"/><Relationship Id="rId37" Type="http://schemas.openxmlformats.org/officeDocument/2006/relationships/table" Target="../tables/table55.xml"/><Relationship Id="rId40" Type="http://schemas.openxmlformats.org/officeDocument/2006/relationships/table" Target="../tables/table58.xml"/><Relationship Id="rId45" Type="http://schemas.openxmlformats.org/officeDocument/2006/relationships/table" Target="../tables/table63.xml"/><Relationship Id="rId53" Type="http://schemas.openxmlformats.org/officeDocument/2006/relationships/table" Target="../tables/table71.xml"/><Relationship Id="rId5" Type="http://schemas.openxmlformats.org/officeDocument/2006/relationships/table" Target="../tables/table23.xml"/><Relationship Id="rId15" Type="http://schemas.openxmlformats.org/officeDocument/2006/relationships/table" Target="../tables/table33.xml"/><Relationship Id="rId23" Type="http://schemas.openxmlformats.org/officeDocument/2006/relationships/table" Target="../tables/table41.xml"/><Relationship Id="rId28" Type="http://schemas.openxmlformats.org/officeDocument/2006/relationships/table" Target="../tables/table46.xml"/><Relationship Id="rId36" Type="http://schemas.openxmlformats.org/officeDocument/2006/relationships/table" Target="../tables/table54.xml"/><Relationship Id="rId49" Type="http://schemas.openxmlformats.org/officeDocument/2006/relationships/table" Target="../tables/table67.xml"/><Relationship Id="rId57" Type="http://schemas.openxmlformats.org/officeDocument/2006/relationships/table" Target="../tables/table75.xml"/><Relationship Id="rId10" Type="http://schemas.openxmlformats.org/officeDocument/2006/relationships/table" Target="../tables/table28.xml"/><Relationship Id="rId19" Type="http://schemas.openxmlformats.org/officeDocument/2006/relationships/table" Target="../tables/table37.xml"/><Relationship Id="rId31" Type="http://schemas.openxmlformats.org/officeDocument/2006/relationships/table" Target="../tables/table49.xml"/><Relationship Id="rId44" Type="http://schemas.openxmlformats.org/officeDocument/2006/relationships/table" Target="../tables/table62.xml"/><Relationship Id="rId52" Type="http://schemas.openxmlformats.org/officeDocument/2006/relationships/table" Target="../tables/table70.xml"/><Relationship Id="rId4" Type="http://schemas.openxmlformats.org/officeDocument/2006/relationships/table" Target="../tables/table22.xml"/><Relationship Id="rId9" Type="http://schemas.openxmlformats.org/officeDocument/2006/relationships/table" Target="../tables/table27.xml"/><Relationship Id="rId14" Type="http://schemas.openxmlformats.org/officeDocument/2006/relationships/table" Target="../tables/table32.xml"/><Relationship Id="rId22" Type="http://schemas.openxmlformats.org/officeDocument/2006/relationships/table" Target="../tables/table40.xml"/><Relationship Id="rId27" Type="http://schemas.openxmlformats.org/officeDocument/2006/relationships/table" Target="../tables/table45.xml"/><Relationship Id="rId30" Type="http://schemas.openxmlformats.org/officeDocument/2006/relationships/table" Target="../tables/table48.xml"/><Relationship Id="rId35" Type="http://schemas.openxmlformats.org/officeDocument/2006/relationships/table" Target="../tables/table53.xml"/><Relationship Id="rId43" Type="http://schemas.openxmlformats.org/officeDocument/2006/relationships/table" Target="../tables/table61.xml"/><Relationship Id="rId48" Type="http://schemas.openxmlformats.org/officeDocument/2006/relationships/table" Target="../tables/table66.xml"/><Relationship Id="rId56" Type="http://schemas.openxmlformats.org/officeDocument/2006/relationships/table" Target="../tables/table74.xml"/><Relationship Id="rId8" Type="http://schemas.openxmlformats.org/officeDocument/2006/relationships/table" Target="../tables/table26.xml"/><Relationship Id="rId51" Type="http://schemas.openxmlformats.org/officeDocument/2006/relationships/table" Target="../tables/table69.xml"/><Relationship Id="rId3" Type="http://schemas.openxmlformats.org/officeDocument/2006/relationships/table" Target="../tables/table2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29B8-A94D-4862-87E7-A262B5E2C5D7}">
  <dimension ref="A1:AD104"/>
  <sheetViews>
    <sheetView workbookViewId="0">
      <selection activeCell="F18" sqref="F18"/>
    </sheetView>
  </sheetViews>
  <sheetFormatPr defaultRowHeight="15"/>
  <cols>
    <col min="1" max="1" width="12.28515625" style="81" bestFit="1" customWidth="1"/>
    <col min="2" max="2" width="8.42578125" style="81" bestFit="1" customWidth="1"/>
    <col min="3" max="3" width="26.5703125" style="81" bestFit="1" customWidth="1"/>
    <col min="4" max="4" width="5.7109375" style="81" bestFit="1" customWidth="1"/>
    <col min="5" max="5" width="21.42578125" style="81" bestFit="1" customWidth="1"/>
    <col min="6" max="6" width="13.5703125" style="81" bestFit="1" customWidth="1"/>
    <col min="8" max="23" width="13.5703125" style="81" customWidth="1"/>
    <col min="24" max="24" width="9.140625" style="81"/>
    <col min="25" max="25" width="19.85546875" style="81" bestFit="1" customWidth="1"/>
    <col min="26" max="26" width="5" style="81" bestFit="1" customWidth="1"/>
    <col min="27" max="27" width="20.85546875" style="81" bestFit="1" customWidth="1"/>
    <col min="28" max="28" width="21" style="81" bestFit="1" customWidth="1"/>
    <col min="29" max="29" width="21.140625" style="81" bestFit="1" customWidth="1"/>
    <col min="30" max="30" width="84" style="81" bestFit="1" customWidth="1"/>
    <col min="31" max="16384" width="9.140625" style="81"/>
  </cols>
  <sheetData>
    <row r="1" spans="1:30" ht="15.75" thickBot="1">
      <c r="A1" s="82" t="s">
        <v>263</v>
      </c>
      <c r="H1" s="81" t="s">
        <v>289</v>
      </c>
      <c r="I1" s="81" t="s">
        <v>290</v>
      </c>
      <c r="J1" s="81" t="s">
        <v>291</v>
      </c>
      <c r="K1" s="81" t="s">
        <v>292</v>
      </c>
      <c r="L1" s="81" t="s">
        <v>294</v>
      </c>
      <c r="M1" s="81" t="s">
        <v>293</v>
      </c>
      <c r="N1" s="81" t="s">
        <v>295</v>
      </c>
      <c r="O1" s="81" t="s">
        <v>314</v>
      </c>
      <c r="P1" s="81" t="s">
        <v>297</v>
      </c>
      <c r="Q1" s="81" t="s">
        <v>298</v>
      </c>
      <c r="R1" s="81" t="s">
        <v>299</v>
      </c>
      <c r="S1" s="81" t="s">
        <v>300</v>
      </c>
      <c r="T1" s="81" t="s">
        <v>301</v>
      </c>
      <c r="U1" s="81" t="s">
        <v>302</v>
      </c>
      <c r="V1" s="81" t="s">
        <v>303</v>
      </c>
      <c r="W1" s="81" t="s">
        <v>304</v>
      </c>
      <c r="Y1" s="27" t="s">
        <v>2</v>
      </c>
      <c r="Z1" s="32" t="s">
        <v>0</v>
      </c>
      <c r="AA1" s="28" t="s">
        <v>32</v>
      </c>
      <c r="AB1" s="28" t="s">
        <v>33</v>
      </c>
      <c r="AC1" s="28" t="s">
        <v>34</v>
      </c>
      <c r="AD1" s="28" t="s">
        <v>1</v>
      </c>
    </row>
    <row r="2" spans="1:30" ht="15.75" thickBot="1">
      <c r="A2" s="81" t="s">
        <v>402</v>
      </c>
      <c r="B2" s="83">
        <v>2.0525000000000002</v>
      </c>
      <c r="C2" s="81" t="s">
        <v>278</v>
      </c>
      <c r="D2" s="81" t="s">
        <v>270</v>
      </c>
      <c r="E2" s="81">
        <v>2018</v>
      </c>
      <c r="Y2" s="97" t="s">
        <v>288</v>
      </c>
    </row>
    <row r="3" spans="1:30">
      <c r="A3" s="81" t="s">
        <v>411</v>
      </c>
      <c r="C3" s="81" t="s">
        <v>266</v>
      </c>
      <c r="D3" s="81" t="s">
        <v>271</v>
      </c>
      <c r="E3" s="81">
        <v>2017</v>
      </c>
      <c r="Y3" s="13" t="s">
        <v>187</v>
      </c>
      <c r="Z3" s="33">
        <v>2016</v>
      </c>
      <c r="AA3" s="29">
        <v>165000</v>
      </c>
      <c r="AB3" s="29"/>
      <c r="AC3" s="29"/>
      <c r="AD3" s="88" t="s">
        <v>188</v>
      </c>
    </row>
    <row r="4" spans="1:30">
      <c r="A4" s="81" t="s">
        <v>401</v>
      </c>
      <c r="C4" s="81" t="s">
        <v>265</v>
      </c>
      <c r="D4" s="81" t="s">
        <v>272</v>
      </c>
      <c r="E4" s="81">
        <v>2016</v>
      </c>
      <c r="Y4" s="15" t="s">
        <v>60</v>
      </c>
      <c r="Z4" s="34">
        <v>2013</v>
      </c>
      <c r="AA4" s="30">
        <v>159000</v>
      </c>
      <c r="AB4" s="30">
        <v>123267.74</v>
      </c>
      <c r="AC4" s="30">
        <v>109000</v>
      </c>
      <c r="AD4" s="18" t="s">
        <v>65</v>
      </c>
    </row>
    <row r="5" spans="1:30">
      <c r="A5" s="81" t="s">
        <v>264</v>
      </c>
      <c r="C5" s="81" t="s">
        <v>267</v>
      </c>
      <c r="E5" s="81">
        <v>2015</v>
      </c>
      <c r="Y5" s="15" t="s">
        <v>173</v>
      </c>
      <c r="Z5" s="34">
        <v>2017</v>
      </c>
      <c r="AA5" s="30">
        <v>143000</v>
      </c>
      <c r="AB5" s="30">
        <v>108675</v>
      </c>
      <c r="AC5" s="30">
        <v>96600</v>
      </c>
      <c r="AD5" s="18" t="s">
        <v>240</v>
      </c>
    </row>
    <row r="6" spans="1:30">
      <c r="C6" s="81" t="s">
        <v>268</v>
      </c>
      <c r="E6" s="81">
        <v>2014</v>
      </c>
      <c r="Y6" s="15"/>
      <c r="Z6" s="34">
        <v>2017</v>
      </c>
      <c r="AA6" s="30">
        <v>165500</v>
      </c>
      <c r="AB6" s="30"/>
      <c r="AC6" s="30"/>
      <c r="AD6" s="18" t="s">
        <v>25</v>
      </c>
    </row>
    <row r="7" spans="1:30">
      <c r="C7" s="81" t="s">
        <v>285</v>
      </c>
      <c r="E7" s="81">
        <v>2013</v>
      </c>
      <c r="Y7" s="15"/>
      <c r="Z7" s="34">
        <v>2016</v>
      </c>
      <c r="AA7" s="30">
        <v>155000</v>
      </c>
      <c r="AB7" s="30"/>
      <c r="AC7" s="30"/>
      <c r="AD7" s="18"/>
    </row>
    <row r="8" spans="1:30">
      <c r="C8" s="81" t="s">
        <v>286</v>
      </c>
      <c r="E8" s="81">
        <v>2012</v>
      </c>
      <c r="Y8" s="15"/>
      <c r="Z8" s="34">
        <v>2013</v>
      </c>
      <c r="AA8" s="30">
        <v>145000</v>
      </c>
      <c r="AB8" s="30"/>
      <c r="AC8" s="30"/>
      <c r="AD8" s="18"/>
    </row>
    <row r="9" spans="1:30">
      <c r="C9" s="81" t="s">
        <v>269</v>
      </c>
      <c r="E9" s="81">
        <v>2011</v>
      </c>
      <c r="Y9" s="15" t="s">
        <v>59</v>
      </c>
      <c r="Z9" s="34">
        <v>2017</v>
      </c>
      <c r="AA9" s="30">
        <v>96000</v>
      </c>
      <c r="AB9" s="30"/>
      <c r="AC9" s="30"/>
      <c r="AD9" s="18" t="s">
        <v>211</v>
      </c>
    </row>
    <row r="10" spans="1:30">
      <c r="C10" s="81" t="s">
        <v>287</v>
      </c>
      <c r="Y10" s="15"/>
      <c r="Z10" s="34">
        <v>2017</v>
      </c>
      <c r="AA10" s="30">
        <v>83500</v>
      </c>
      <c r="AB10" s="30"/>
      <c r="AC10" s="30"/>
      <c r="AD10" s="18" t="s">
        <v>210</v>
      </c>
    </row>
    <row r="11" spans="1:30">
      <c r="Y11" s="15"/>
      <c r="Z11" s="34">
        <v>2016</v>
      </c>
      <c r="AA11" s="30">
        <v>96000</v>
      </c>
      <c r="AB11" s="17"/>
      <c r="AC11" s="30"/>
      <c r="AD11" s="18" t="s">
        <v>157</v>
      </c>
    </row>
    <row r="12" spans="1:30">
      <c r="E12" s="81" t="s">
        <v>32</v>
      </c>
      <c r="Y12" s="15"/>
      <c r="Z12" s="34">
        <v>2016</v>
      </c>
      <c r="AA12" s="30">
        <v>83500</v>
      </c>
      <c r="AB12" s="17"/>
      <c r="AC12" s="30"/>
      <c r="AD12" s="18" t="s">
        <v>158</v>
      </c>
    </row>
    <row r="13" spans="1:30">
      <c r="E13" s="81" t="s">
        <v>33</v>
      </c>
      <c r="Y13" s="15"/>
      <c r="Z13" s="34">
        <v>2015</v>
      </c>
      <c r="AA13" s="30">
        <v>96000</v>
      </c>
      <c r="AB13" s="17"/>
      <c r="AC13" s="30"/>
      <c r="AD13" s="18"/>
    </row>
    <row r="14" spans="1:30">
      <c r="E14" s="81" t="s">
        <v>34</v>
      </c>
      <c r="Y14" s="15"/>
      <c r="Z14" s="34">
        <v>2013</v>
      </c>
      <c r="AA14" s="30">
        <v>76294.559999999998</v>
      </c>
      <c r="AB14" s="30">
        <v>71415.87</v>
      </c>
      <c r="AC14" s="30">
        <v>63480.77</v>
      </c>
      <c r="AD14" s="18" t="s">
        <v>62</v>
      </c>
    </row>
    <row r="15" spans="1:30">
      <c r="Y15" s="15"/>
      <c r="Z15" s="34">
        <v>2013</v>
      </c>
      <c r="AA15" s="30">
        <v>83500</v>
      </c>
      <c r="AB15" s="30">
        <v>78605.440000000002</v>
      </c>
      <c r="AC15" s="30">
        <v>69871.5</v>
      </c>
      <c r="AD15" s="18" t="s">
        <v>63</v>
      </c>
    </row>
    <row r="16" spans="1:30">
      <c r="E16" s="81" t="s">
        <v>400</v>
      </c>
      <c r="Y16" s="15"/>
      <c r="Z16" s="34">
        <v>2013</v>
      </c>
      <c r="AA16" s="30">
        <v>94500</v>
      </c>
      <c r="AB16" s="30">
        <v>88100</v>
      </c>
      <c r="AC16" s="30">
        <v>78311.11</v>
      </c>
      <c r="AD16" s="18" t="s">
        <v>61</v>
      </c>
    </row>
    <row r="17" spans="5:30">
      <c r="E17" s="171">
        <v>0.15</v>
      </c>
      <c r="F17" s="172">
        <f>'Valuation '!B3-('Valuation '!B3*'Data Sheet'!E17)</f>
        <v>0</v>
      </c>
      <c r="Y17" s="15"/>
      <c r="Z17" s="34">
        <v>2013</v>
      </c>
      <c r="AA17" s="30">
        <v>86000</v>
      </c>
      <c r="AB17" s="30">
        <v>80200</v>
      </c>
      <c r="AC17" s="30">
        <v>71288.88</v>
      </c>
      <c r="AD17" s="18" t="s">
        <v>64</v>
      </c>
    </row>
    <row r="18" spans="5:30">
      <c r="E18" s="171">
        <v>0.25</v>
      </c>
      <c r="F18" s="172">
        <f>'Valuation '!B3-('Valuation '!B3*'Data Sheet'!E18)</f>
        <v>0</v>
      </c>
      <c r="Y18" s="15" t="s">
        <v>122</v>
      </c>
      <c r="Z18" s="34">
        <v>2017</v>
      </c>
      <c r="AA18" s="30">
        <v>77500</v>
      </c>
      <c r="AB18" s="30"/>
      <c r="AC18" s="30"/>
      <c r="AD18" s="18" t="s">
        <v>168</v>
      </c>
    </row>
    <row r="19" spans="5:30">
      <c r="E19" s="171">
        <v>0.4</v>
      </c>
      <c r="F19" s="172">
        <f>'Valuation '!B3-('Valuation '!B3*'Data Sheet'!E19)</f>
        <v>0</v>
      </c>
      <c r="Y19" s="15"/>
      <c r="Z19" s="34">
        <v>2017</v>
      </c>
      <c r="AA19" s="30">
        <v>71500</v>
      </c>
      <c r="AB19" s="30"/>
      <c r="AC19" s="30"/>
      <c r="AD19" s="18" t="s">
        <v>239</v>
      </c>
    </row>
    <row r="20" spans="5:30">
      <c r="Y20" s="15"/>
      <c r="Z20" s="34">
        <v>2017</v>
      </c>
      <c r="AA20" s="30">
        <v>92000</v>
      </c>
      <c r="AB20" s="30"/>
      <c r="AC20" s="30"/>
      <c r="AD20" s="18" t="s">
        <v>170</v>
      </c>
    </row>
    <row r="21" spans="5:30">
      <c r="Y21" s="15"/>
      <c r="Z21" s="34">
        <v>2017</v>
      </c>
      <c r="AA21" s="30">
        <v>85500</v>
      </c>
      <c r="AB21" s="30"/>
      <c r="AC21" s="30"/>
      <c r="AD21" s="18" t="s">
        <v>172</v>
      </c>
    </row>
    <row r="22" spans="5:30">
      <c r="Y22" s="15"/>
      <c r="Z22" s="34">
        <v>2017</v>
      </c>
      <c r="AA22" s="30">
        <v>98500</v>
      </c>
      <c r="AB22" s="30"/>
      <c r="AC22" s="30"/>
      <c r="AD22" s="18" t="s">
        <v>169</v>
      </c>
    </row>
    <row r="23" spans="5:30">
      <c r="Y23" s="15"/>
      <c r="Z23" s="34">
        <v>2017</v>
      </c>
      <c r="AA23" s="30">
        <v>94000</v>
      </c>
      <c r="AB23" s="30"/>
      <c r="AC23" s="30"/>
      <c r="AD23" s="18" t="s">
        <v>171</v>
      </c>
    </row>
    <row r="24" spans="5:30">
      <c r="Y24" s="15"/>
      <c r="Z24" s="34">
        <v>2016</v>
      </c>
      <c r="AA24" s="30">
        <v>71500</v>
      </c>
      <c r="AB24" s="30"/>
      <c r="AC24" s="30"/>
      <c r="AD24" s="18" t="s">
        <v>205</v>
      </c>
    </row>
    <row r="25" spans="5:30">
      <c r="Y25" s="15"/>
      <c r="Z25" s="34">
        <v>2016</v>
      </c>
      <c r="AA25" s="30">
        <v>71500</v>
      </c>
      <c r="AB25" s="17"/>
      <c r="AC25" s="30"/>
      <c r="AD25" s="18" t="s">
        <v>50</v>
      </c>
    </row>
    <row r="26" spans="5:30">
      <c r="Y26" s="15"/>
      <c r="Z26" s="34">
        <v>2016</v>
      </c>
      <c r="AA26" s="30">
        <v>77500</v>
      </c>
      <c r="AB26" s="30">
        <v>72300</v>
      </c>
      <c r="AC26" s="30"/>
      <c r="AD26" s="18" t="s">
        <v>168</v>
      </c>
    </row>
    <row r="27" spans="5:30">
      <c r="Y27" s="15"/>
      <c r="Z27" s="34">
        <v>2016</v>
      </c>
      <c r="AA27" s="30">
        <v>94000</v>
      </c>
      <c r="AB27" s="30">
        <v>87800</v>
      </c>
      <c r="AC27" s="30"/>
      <c r="AD27" s="18" t="s">
        <v>170</v>
      </c>
    </row>
    <row r="28" spans="5:30">
      <c r="Y28" s="15"/>
      <c r="Z28" s="34">
        <v>2016</v>
      </c>
      <c r="AA28" s="30">
        <v>85500</v>
      </c>
      <c r="AB28" s="30">
        <v>79700</v>
      </c>
      <c r="AC28" s="30"/>
      <c r="AD28" s="18" t="s">
        <v>172</v>
      </c>
    </row>
    <row r="29" spans="5:30">
      <c r="Y29" s="15"/>
      <c r="Z29" s="34">
        <v>2016</v>
      </c>
      <c r="AA29" s="30">
        <v>98500</v>
      </c>
      <c r="AB29" s="30">
        <v>92000</v>
      </c>
      <c r="AC29" s="30"/>
      <c r="AD29" s="18" t="s">
        <v>169</v>
      </c>
    </row>
    <row r="30" spans="5:30">
      <c r="Y30" s="15"/>
      <c r="Z30" s="34">
        <v>2016</v>
      </c>
      <c r="AA30" s="30">
        <v>95000</v>
      </c>
      <c r="AB30" s="30">
        <v>88700</v>
      </c>
      <c r="AC30" s="30"/>
      <c r="AD30" s="18" t="s">
        <v>171</v>
      </c>
    </row>
    <row r="31" spans="5:30">
      <c r="Y31" s="15"/>
      <c r="Z31" s="34">
        <v>2016</v>
      </c>
      <c r="AA31" s="30">
        <v>85500</v>
      </c>
      <c r="AB31" s="17"/>
      <c r="AC31" s="30"/>
      <c r="AD31" s="18" t="s">
        <v>139</v>
      </c>
    </row>
    <row r="32" spans="5:30">
      <c r="Y32" s="15"/>
      <c r="Z32" s="34">
        <v>2016</v>
      </c>
      <c r="AA32" s="30">
        <v>98000</v>
      </c>
      <c r="AB32" s="17"/>
      <c r="AC32" s="30"/>
      <c r="AD32" s="18" t="s">
        <v>134</v>
      </c>
    </row>
    <row r="33" spans="25:30">
      <c r="Y33" s="15"/>
      <c r="Z33" s="34">
        <v>2015</v>
      </c>
      <c r="AA33" s="30">
        <v>68000</v>
      </c>
      <c r="AB33" s="17"/>
      <c r="AC33" s="30"/>
      <c r="AD33" s="18" t="s">
        <v>128</v>
      </c>
    </row>
    <row r="34" spans="25:30">
      <c r="Y34" s="15"/>
      <c r="Z34" s="34">
        <v>2015</v>
      </c>
      <c r="AA34" s="30">
        <v>70500</v>
      </c>
      <c r="AB34" s="17"/>
      <c r="AC34" s="30"/>
      <c r="AD34" s="18" t="s">
        <v>50</v>
      </c>
    </row>
    <row r="35" spans="25:30">
      <c r="Y35" s="15" t="s">
        <v>55</v>
      </c>
      <c r="Z35" s="34">
        <v>2013</v>
      </c>
      <c r="AA35" s="30">
        <v>69500</v>
      </c>
      <c r="AB35" s="30">
        <v>65000</v>
      </c>
      <c r="AC35" s="30">
        <v>57777.77</v>
      </c>
      <c r="AD35" s="18" t="s">
        <v>50</v>
      </c>
    </row>
    <row r="36" spans="25:30">
      <c r="Y36" s="15" t="s">
        <v>57</v>
      </c>
      <c r="Z36" s="34">
        <v>2013</v>
      </c>
      <c r="AA36" s="30">
        <v>86500</v>
      </c>
      <c r="AB36" s="30">
        <v>80800</v>
      </c>
      <c r="AC36" s="30">
        <v>71822.22</v>
      </c>
      <c r="AD36" s="18" t="s">
        <v>54</v>
      </c>
    </row>
    <row r="37" spans="25:30">
      <c r="Y37" s="15" t="s">
        <v>58</v>
      </c>
      <c r="Z37" s="34">
        <v>2013</v>
      </c>
      <c r="AA37" s="30">
        <v>90000</v>
      </c>
      <c r="AB37" s="30">
        <v>84000</v>
      </c>
      <c r="AC37" s="30">
        <v>74666.66</v>
      </c>
      <c r="AD37" s="18" t="s">
        <v>53</v>
      </c>
    </row>
    <row r="38" spans="25:30">
      <c r="Y38" s="15" t="s">
        <v>56</v>
      </c>
      <c r="Z38" s="34">
        <v>2013</v>
      </c>
      <c r="AA38" s="30">
        <v>72000</v>
      </c>
      <c r="AB38" s="30">
        <v>67500</v>
      </c>
      <c r="AC38" s="30">
        <v>60000</v>
      </c>
      <c r="AD38" s="18" t="s">
        <v>52</v>
      </c>
    </row>
    <row r="39" spans="25:30">
      <c r="Y39" s="15" t="s">
        <v>119</v>
      </c>
      <c r="Z39" s="34">
        <v>2017</v>
      </c>
      <c r="AA39" s="30">
        <v>325000</v>
      </c>
      <c r="AB39" s="17"/>
      <c r="AC39" s="30"/>
      <c r="AD39" s="18"/>
    </row>
    <row r="40" spans="25:30">
      <c r="Y40" s="15"/>
      <c r="Z40" s="34">
        <v>2016</v>
      </c>
      <c r="AA40" s="30">
        <v>325000</v>
      </c>
      <c r="AB40" s="17"/>
      <c r="AC40" s="30"/>
      <c r="AD40" s="18"/>
    </row>
    <row r="41" spans="25:30">
      <c r="Y41" s="15"/>
      <c r="Z41" s="34">
        <v>2015</v>
      </c>
      <c r="AA41" s="30">
        <v>320000</v>
      </c>
      <c r="AB41" s="17"/>
      <c r="AC41" s="30">
        <v>200885</v>
      </c>
      <c r="AD41" s="18"/>
    </row>
    <row r="42" spans="25:30">
      <c r="Y42" s="15"/>
      <c r="Z42" s="34">
        <v>2013</v>
      </c>
      <c r="AA42" s="30">
        <v>306398.53999999998</v>
      </c>
      <c r="AB42" s="30"/>
      <c r="AC42" s="30">
        <v>188000</v>
      </c>
      <c r="AD42" s="18" t="s">
        <v>65</v>
      </c>
    </row>
    <row r="43" spans="25:30">
      <c r="Y43" s="15" t="s">
        <v>182</v>
      </c>
      <c r="Z43" s="34">
        <v>2016</v>
      </c>
      <c r="AA43" s="30">
        <v>114000</v>
      </c>
      <c r="AB43" s="17"/>
      <c r="AC43" s="30">
        <v>76500</v>
      </c>
      <c r="AD43" s="18" t="s">
        <v>183</v>
      </c>
    </row>
    <row r="44" spans="25:30">
      <c r="Y44" s="15" t="s">
        <v>78</v>
      </c>
      <c r="Z44" s="34">
        <v>2013</v>
      </c>
      <c r="AA44" s="30">
        <v>111000</v>
      </c>
      <c r="AB44" s="30">
        <v>84204.6</v>
      </c>
      <c r="AC44" s="30">
        <v>74848.53</v>
      </c>
      <c r="AD44" s="18" t="s">
        <v>66</v>
      </c>
    </row>
    <row r="45" spans="25:30">
      <c r="Y45" s="15"/>
      <c r="Z45" s="34">
        <v>2013</v>
      </c>
      <c r="AA45" s="30">
        <v>113500</v>
      </c>
      <c r="AB45" s="30">
        <v>86122.46</v>
      </c>
      <c r="AC45" s="30">
        <v>76553.289999999994</v>
      </c>
      <c r="AD45" s="18" t="s">
        <v>67</v>
      </c>
    </row>
    <row r="46" spans="25:30">
      <c r="Y46" s="15" t="s">
        <v>235</v>
      </c>
      <c r="Z46" s="34">
        <v>2017</v>
      </c>
      <c r="AA46" s="30">
        <v>112000</v>
      </c>
      <c r="AB46" s="30"/>
      <c r="AC46" s="30"/>
      <c r="AD46" s="18" t="s">
        <v>236</v>
      </c>
    </row>
    <row r="47" spans="25:30">
      <c r="Y47" s="15"/>
      <c r="Z47" s="34">
        <v>2017</v>
      </c>
      <c r="AA47" s="30">
        <v>109000</v>
      </c>
      <c r="AB47" s="30"/>
      <c r="AC47" s="30"/>
      <c r="AD47" s="18" t="s">
        <v>67</v>
      </c>
    </row>
    <row r="48" spans="25:30">
      <c r="Y48" s="15" t="s">
        <v>160</v>
      </c>
      <c r="Z48" s="34">
        <v>2018</v>
      </c>
      <c r="AA48" s="30">
        <v>145000</v>
      </c>
      <c r="AB48" s="30">
        <v>112061.16</v>
      </c>
      <c r="AC48" s="30">
        <v>99609.919999999998</v>
      </c>
      <c r="AD48" s="18"/>
    </row>
    <row r="49" spans="25:30">
      <c r="Y49" s="15"/>
      <c r="Z49" s="34">
        <v>2017</v>
      </c>
      <c r="AA49" s="30">
        <v>148000</v>
      </c>
      <c r="AB49" s="17"/>
      <c r="AC49" s="30"/>
      <c r="AD49" s="18" t="s">
        <v>237</v>
      </c>
    </row>
    <row r="50" spans="25:30">
      <c r="Y50" s="15"/>
      <c r="Z50" s="34">
        <v>2017</v>
      </c>
      <c r="AA50" s="30">
        <v>145000</v>
      </c>
      <c r="AB50" s="30"/>
      <c r="AC50" s="30"/>
      <c r="AD50" s="18" t="s">
        <v>76</v>
      </c>
    </row>
    <row r="51" spans="25:30">
      <c r="Y51" s="15"/>
      <c r="Z51" s="34">
        <v>2016</v>
      </c>
      <c r="AA51" s="30">
        <v>148000</v>
      </c>
      <c r="AB51" s="30"/>
      <c r="AC51" s="30"/>
      <c r="AD51" s="18" t="s">
        <v>75</v>
      </c>
    </row>
    <row r="52" spans="25:30">
      <c r="Y52" s="15" t="s">
        <v>118</v>
      </c>
      <c r="Z52" s="34">
        <v>2015</v>
      </c>
      <c r="AA52" s="30">
        <v>155000</v>
      </c>
      <c r="AB52" s="17"/>
      <c r="AC52" s="30">
        <v>106000</v>
      </c>
      <c r="AD52" s="18"/>
    </row>
    <row r="53" spans="25:30">
      <c r="Y53" s="15" t="s">
        <v>74</v>
      </c>
      <c r="Z53" s="34">
        <v>2015</v>
      </c>
      <c r="AA53" s="30">
        <v>143000</v>
      </c>
      <c r="AB53" s="17"/>
      <c r="AC53" s="30">
        <v>99000</v>
      </c>
      <c r="AD53" s="18"/>
    </row>
    <row r="54" spans="25:30">
      <c r="Y54" s="15"/>
      <c r="Z54" s="34">
        <v>2013</v>
      </c>
      <c r="AA54" s="30">
        <v>142500</v>
      </c>
      <c r="AB54" s="30">
        <v>109372.2</v>
      </c>
      <c r="AC54" s="30">
        <v>97219.13</v>
      </c>
      <c r="AD54" s="18" t="s">
        <v>75</v>
      </c>
    </row>
    <row r="55" spans="25:30">
      <c r="Y55" s="15"/>
      <c r="Z55" s="34">
        <v>2013</v>
      </c>
      <c r="AA55" s="30">
        <v>140000</v>
      </c>
      <c r="AB55" s="30">
        <v>107474.82</v>
      </c>
      <c r="AC55" s="30">
        <v>95533.17</v>
      </c>
      <c r="AD55" s="18" t="s">
        <v>76</v>
      </c>
    </row>
    <row r="56" spans="25:30">
      <c r="Y56" s="15" t="s">
        <v>71</v>
      </c>
      <c r="Z56" s="34">
        <v>2015</v>
      </c>
      <c r="AA56" s="30">
        <v>188000</v>
      </c>
      <c r="AB56" s="17"/>
      <c r="AC56" s="30"/>
      <c r="AD56" s="18" t="s">
        <v>120</v>
      </c>
    </row>
    <row r="57" spans="25:30">
      <c r="Y57" s="15"/>
      <c r="Z57" s="34">
        <v>2013</v>
      </c>
      <c r="AA57" s="30">
        <v>178200</v>
      </c>
      <c r="AB57" s="30">
        <v>136411.07999999999</v>
      </c>
      <c r="AC57" s="30">
        <v>121254.29</v>
      </c>
      <c r="AD57" s="18" t="s">
        <v>72</v>
      </c>
    </row>
    <row r="58" spans="25:30">
      <c r="Y58" s="15"/>
      <c r="Z58" s="34">
        <v>2013</v>
      </c>
      <c r="AA58" s="30">
        <v>187000</v>
      </c>
      <c r="AB58" s="30">
        <v>143107.07999999999</v>
      </c>
      <c r="AC58" s="30">
        <v>127006.29</v>
      </c>
      <c r="AD58" s="18" t="s">
        <v>73</v>
      </c>
    </row>
    <row r="59" spans="25:30">
      <c r="Y59" s="15" t="s">
        <v>77</v>
      </c>
      <c r="Z59" s="34">
        <v>2017</v>
      </c>
      <c r="AA59" s="30">
        <v>193500</v>
      </c>
      <c r="AB59" s="17"/>
      <c r="AC59" s="30"/>
      <c r="AD59" s="18" t="s">
        <v>238</v>
      </c>
    </row>
    <row r="60" spans="25:30">
      <c r="Y60" s="15"/>
      <c r="Z60" s="34">
        <v>2017</v>
      </c>
      <c r="AA60" s="30">
        <v>190500</v>
      </c>
      <c r="AB60" s="17"/>
      <c r="AC60" s="30"/>
      <c r="AD60" s="18" t="s">
        <v>73</v>
      </c>
    </row>
    <row r="61" spans="25:30">
      <c r="Y61" s="15"/>
      <c r="Z61" s="34">
        <v>2016</v>
      </c>
      <c r="AA61" s="30">
        <v>195000</v>
      </c>
      <c r="AB61" s="17"/>
      <c r="AC61" s="30"/>
      <c r="AD61" s="18" t="s">
        <v>73</v>
      </c>
    </row>
    <row r="62" spans="25:30">
      <c r="Y62" s="15"/>
      <c r="Z62" s="34">
        <v>2013</v>
      </c>
      <c r="AA62" s="30">
        <v>197500</v>
      </c>
      <c r="AB62" s="30">
        <v>150512.35999999999</v>
      </c>
      <c r="AC62" s="30">
        <v>133788.76</v>
      </c>
      <c r="AD62" s="18" t="s">
        <v>72</v>
      </c>
    </row>
    <row r="63" spans="25:30">
      <c r="Y63" s="15"/>
      <c r="Z63" s="34">
        <v>2013</v>
      </c>
      <c r="AA63" s="30">
        <v>195000</v>
      </c>
      <c r="AB63" s="30">
        <v>148594.54</v>
      </c>
      <c r="AC63" s="30">
        <v>132084.03</v>
      </c>
      <c r="AD63" s="18" t="s">
        <v>73</v>
      </c>
    </row>
    <row r="64" spans="25:30">
      <c r="Y64" s="15" t="s">
        <v>184</v>
      </c>
      <c r="Z64" s="34">
        <v>2016</v>
      </c>
      <c r="AA64" s="30">
        <v>123000</v>
      </c>
      <c r="AB64" s="30"/>
      <c r="AC64" s="30"/>
      <c r="AD64" s="18" t="s">
        <v>201</v>
      </c>
    </row>
    <row r="65" spans="25:30">
      <c r="Y65" s="15"/>
      <c r="Z65" s="34">
        <v>2016</v>
      </c>
      <c r="AA65" s="30">
        <v>98000</v>
      </c>
      <c r="AB65" s="30"/>
      <c r="AC65" s="30"/>
      <c r="AD65" s="18"/>
    </row>
    <row r="66" spans="25:30">
      <c r="Y66" s="24" t="s">
        <v>3</v>
      </c>
      <c r="Z66" s="34">
        <v>2012</v>
      </c>
      <c r="AA66" s="30">
        <v>146000</v>
      </c>
      <c r="AB66" s="30">
        <v>114000</v>
      </c>
      <c r="AC66" s="30">
        <v>101333.33</v>
      </c>
      <c r="AD66" s="31"/>
    </row>
    <row r="67" spans="25:30">
      <c r="Y67" s="24"/>
      <c r="Z67" s="34">
        <v>2011</v>
      </c>
      <c r="AA67" s="30">
        <v>142913</v>
      </c>
      <c r="AB67" s="30">
        <v>111532</v>
      </c>
      <c r="AC67" s="30">
        <v>99140</v>
      </c>
      <c r="AD67" s="31"/>
    </row>
    <row r="68" spans="25:30">
      <c r="Y68" s="24" t="s">
        <v>27</v>
      </c>
      <c r="Z68" s="34">
        <v>2011</v>
      </c>
      <c r="AA68" s="30">
        <v>60348</v>
      </c>
      <c r="AB68" s="30">
        <v>56334.06</v>
      </c>
      <c r="AC68" s="30">
        <v>53642.67</v>
      </c>
      <c r="AD68" s="31" t="s">
        <v>28</v>
      </c>
    </row>
    <row r="69" spans="25:30">
      <c r="Y69" s="24" t="s">
        <v>4</v>
      </c>
      <c r="Z69" s="34">
        <v>2011</v>
      </c>
      <c r="AA69" s="30">
        <v>158643</v>
      </c>
      <c r="AB69" s="30">
        <v>149018.39000000001</v>
      </c>
      <c r="AC69" s="30">
        <v>132460.79</v>
      </c>
      <c r="AD69" s="31" t="s">
        <v>26</v>
      </c>
    </row>
    <row r="70" spans="25:30">
      <c r="Y70" s="24" t="s">
        <v>14</v>
      </c>
      <c r="Z70" s="34">
        <v>2011</v>
      </c>
      <c r="AA70" s="30">
        <v>71425</v>
      </c>
      <c r="AB70" s="30">
        <v>66748</v>
      </c>
      <c r="AC70" s="30">
        <v>59331.83</v>
      </c>
      <c r="AD70" s="31" t="s">
        <v>22</v>
      </c>
    </row>
    <row r="71" spans="25:30">
      <c r="Y71" s="24"/>
      <c r="Z71" s="34">
        <v>2011</v>
      </c>
      <c r="AA71" s="30">
        <v>73000</v>
      </c>
      <c r="AB71" s="30">
        <v>84227</v>
      </c>
      <c r="AC71" s="30">
        <v>60858.93</v>
      </c>
      <c r="AD71" s="31" t="s">
        <v>21</v>
      </c>
    </row>
    <row r="72" spans="25:30">
      <c r="Y72" s="24"/>
      <c r="Z72" s="34">
        <v>2011</v>
      </c>
      <c r="AA72" s="30">
        <v>90114</v>
      </c>
      <c r="AB72" s="30">
        <v>84227.57</v>
      </c>
      <c r="AC72" s="30">
        <v>74868</v>
      </c>
      <c r="AD72" s="31" t="s">
        <v>20</v>
      </c>
    </row>
    <row r="73" spans="25:30">
      <c r="Y73" s="24" t="s">
        <v>19</v>
      </c>
      <c r="Z73" s="34">
        <v>2012</v>
      </c>
      <c r="AA73" s="30">
        <v>65000</v>
      </c>
      <c r="AB73" s="30">
        <v>60750</v>
      </c>
      <c r="AC73" s="30">
        <v>54000</v>
      </c>
      <c r="AD73" s="31" t="s">
        <v>18</v>
      </c>
    </row>
    <row r="74" spans="25:30">
      <c r="Y74" s="24"/>
      <c r="Z74" s="34">
        <v>2012</v>
      </c>
      <c r="AA74" s="30">
        <v>50950</v>
      </c>
      <c r="AB74" s="30">
        <v>47129</v>
      </c>
      <c r="AC74" s="30">
        <v>42036.26</v>
      </c>
      <c r="AD74" s="31" t="s">
        <v>17</v>
      </c>
    </row>
    <row r="75" spans="25:30">
      <c r="Y75" s="24" t="s">
        <v>8</v>
      </c>
      <c r="Z75" s="34">
        <v>2011</v>
      </c>
      <c r="AA75" s="30">
        <v>62656</v>
      </c>
      <c r="AB75" s="30">
        <v>58316</v>
      </c>
      <c r="AC75" s="30">
        <v>51836</v>
      </c>
      <c r="AD75" s="31"/>
    </row>
    <row r="76" spans="25:30">
      <c r="Y76" s="24" t="s">
        <v>7</v>
      </c>
      <c r="Z76" s="34">
        <v>2011</v>
      </c>
      <c r="AA76" s="30">
        <v>54832</v>
      </c>
      <c r="AB76" s="30">
        <v>51400</v>
      </c>
      <c r="AC76" s="30">
        <v>45689</v>
      </c>
      <c r="AD76" s="31"/>
    </row>
    <row r="77" spans="25:30">
      <c r="Y77" s="24" t="s">
        <v>10</v>
      </c>
      <c r="Z77" s="34">
        <v>2012</v>
      </c>
      <c r="AA77" s="30">
        <v>68850</v>
      </c>
      <c r="AB77" s="30">
        <v>64671.73</v>
      </c>
      <c r="AC77" s="30">
        <v>57485.98</v>
      </c>
      <c r="AD77" s="31"/>
    </row>
    <row r="78" spans="25:30">
      <c r="Y78" s="24"/>
      <c r="Z78" s="34">
        <v>2011</v>
      </c>
      <c r="AA78" s="30">
        <v>66900</v>
      </c>
      <c r="AB78" s="30">
        <v>66421</v>
      </c>
      <c r="AC78" s="30">
        <v>55485</v>
      </c>
      <c r="AD78" s="31"/>
    </row>
    <row r="79" spans="25:30">
      <c r="Y79" s="24" t="s">
        <v>9</v>
      </c>
      <c r="Z79" s="34">
        <v>2012</v>
      </c>
      <c r="AA79" s="30">
        <v>55350</v>
      </c>
      <c r="AB79" s="30">
        <v>51700.79</v>
      </c>
      <c r="AC79" s="30">
        <v>45956.26</v>
      </c>
      <c r="AD79" s="31"/>
    </row>
    <row r="80" spans="25:30">
      <c r="Y80" s="24"/>
      <c r="Z80" s="34">
        <v>2011</v>
      </c>
      <c r="AA80" s="30">
        <v>59623</v>
      </c>
      <c r="AB80" s="30">
        <v>55886</v>
      </c>
      <c r="AC80" s="30">
        <v>49676</v>
      </c>
      <c r="AD80" s="31"/>
    </row>
    <row r="81" spans="25:30">
      <c r="Y81" s="24" t="s">
        <v>11</v>
      </c>
      <c r="Z81" s="34">
        <v>2011</v>
      </c>
      <c r="AA81" s="30">
        <v>71000</v>
      </c>
      <c r="AB81" s="30">
        <v>66659</v>
      </c>
      <c r="AC81" s="30">
        <v>59253</v>
      </c>
      <c r="AD81" s="31"/>
    </row>
    <row r="82" spans="25:30">
      <c r="Y82" s="24" t="s">
        <v>15</v>
      </c>
      <c r="Z82" s="34">
        <v>2012</v>
      </c>
      <c r="AA82" s="30">
        <v>84650</v>
      </c>
      <c r="AB82" s="30">
        <v>79470.13</v>
      </c>
      <c r="AC82" s="30">
        <v>70640.11</v>
      </c>
      <c r="AD82" s="31"/>
    </row>
    <row r="83" spans="25:30">
      <c r="Y83" s="24" t="s">
        <v>12</v>
      </c>
      <c r="Z83" s="34">
        <v>2011</v>
      </c>
      <c r="AA83" s="30">
        <v>74900</v>
      </c>
      <c r="AB83" s="30">
        <v>70193</v>
      </c>
      <c r="AC83" s="30">
        <v>62394</v>
      </c>
      <c r="AD83" s="31"/>
    </row>
    <row r="84" spans="25:30">
      <c r="Y84" s="24"/>
      <c r="Z84" s="34">
        <v>2011</v>
      </c>
      <c r="AA84" s="30">
        <v>82400</v>
      </c>
      <c r="AB84" s="30">
        <v>77220</v>
      </c>
      <c r="AC84" s="30">
        <v>68640</v>
      </c>
      <c r="AD84" s="31"/>
    </row>
    <row r="85" spans="25:30">
      <c r="Y85" s="24" t="s">
        <v>13</v>
      </c>
      <c r="Z85" s="34">
        <v>2012</v>
      </c>
      <c r="AA85" s="30">
        <v>88000</v>
      </c>
      <c r="AB85" s="30">
        <v>82260.179999999993</v>
      </c>
      <c r="AC85" s="30">
        <v>73120.160000000003</v>
      </c>
      <c r="AD85" s="31"/>
    </row>
    <row r="86" spans="25:30">
      <c r="Y86" s="24"/>
      <c r="Z86" s="34">
        <v>2011</v>
      </c>
      <c r="AA86" s="30">
        <v>86000</v>
      </c>
      <c r="AB86" s="30">
        <v>80582</v>
      </c>
      <c r="AC86" s="30">
        <v>71629</v>
      </c>
      <c r="AD86" s="31"/>
    </row>
    <row r="87" spans="25:30">
      <c r="Y87" s="24" t="s">
        <v>23</v>
      </c>
      <c r="Z87" s="34">
        <v>2011</v>
      </c>
      <c r="AA87" s="30">
        <v>282886.36</v>
      </c>
      <c r="AB87" s="30">
        <v>230570.07</v>
      </c>
      <c r="AC87" s="30">
        <v>184896.61</v>
      </c>
      <c r="AD87" s="31" t="s">
        <v>25</v>
      </c>
    </row>
    <row r="88" spans="25:30">
      <c r="Y88" s="24" t="s">
        <v>24</v>
      </c>
      <c r="Z88" s="34">
        <v>2011</v>
      </c>
      <c r="AA88" s="30">
        <v>106875</v>
      </c>
      <c r="AB88" s="30">
        <v>84375</v>
      </c>
      <c r="AC88" s="30">
        <v>75000</v>
      </c>
      <c r="AD88" s="31"/>
    </row>
    <row r="89" spans="25:30">
      <c r="Y89" s="24" t="s">
        <v>5</v>
      </c>
      <c r="Z89" s="34">
        <v>2012</v>
      </c>
      <c r="AA89" s="30">
        <v>110625</v>
      </c>
      <c r="AB89" s="30">
        <v>87500</v>
      </c>
      <c r="AC89" s="30">
        <v>77777.78</v>
      </c>
      <c r="AD89" s="31" t="s">
        <v>30</v>
      </c>
    </row>
    <row r="90" spans="25:30">
      <c r="Y90" s="24"/>
      <c r="Z90" s="34">
        <v>2012</v>
      </c>
      <c r="AA90" s="30">
        <v>108375</v>
      </c>
      <c r="AB90" s="30">
        <v>85250</v>
      </c>
      <c r="AC90" s="30">
        <v>75777.78</v>
      </c>
      <c r="AD90" s="31" t="s">
        <v>31</v>
      </c>
    </row>
    <row r="91" spans="25:30">
      <c r="Y91" s="24"/>
      <c r="Z91" s="34">
        <v>2011</v>
      </c>
      <c r="AA91" s="30">
        <v>106418</v>
      </c>
      <c r="AB91" s="30">
        <v>82646</v>
      </c>
      <c r="AC91" s="30">
        <v>73463</v>
      </c>
      <c r="AD91" s="31"/>
    </row>
    <row r="92" spans="25:30">
      <c r="Y92" s="24" t="s">
        <v>68</v>
      </c>
      <c r="Z92" s="34">
        <v>2012</v>
      </c>
      <c r="AA92" s="30">
        <v>133625</v>
      </c>
      <c r="AB92" s="30">
        <v>105000</v>
      </c>
      <c r="AC92" s="30">
        <v>93333.33</v>
      </c>
      <c r="AD92" s="31" t="s">
        <v>30</v>
      </c>
    </row>
    <row r="93" spans="25:30">
      <c r="Y93" s="24"/>
      <c r="Z93" s="34">
        <v>2012</v>
      </c>
      <c r="AA93" s="30">
        <v>131375</v>
      </c>
      <c r="AB93" s="30">
        <v>102750</v>
      </c>
      <c r="AC93" s="30">
        <v>91333.33</v>
      </c>
      <c r="AD93" s="31" t="s">
        <v>31</v>
      </c>
    </row>
    <row r="94" spans="25:30">
      <c r="Y94" s="24"/>
      <c r="Z94" s="34">
        <v>2011</v>
      </c>
      <c r="AA94" s="30">
        <v>129068</v>
      </c>
      <c r="AB94" s="30">
        <v>100209</v>
      </c>
      <c r="AC94" s="30">
        <v>89075</v>
      </c>
      <c r="AD94" s="31"/>
    </row>
    <row r="95" spans="25:30">
      <c r="Y95" s="24" t="s">
        <v>70</v>
      </c>
      <c r="Z95" s="34">
        <v>2012</v>
      </c>
      <c r="AA95" s="30">
        <v>180250</v>
      </c>
      <c r="AB95" s="30">
        <v>141250</v>
      </c>
      <c r="AC95" s="30">
        <v>125555.55</v>
      </c>
      <c r="AD95" s="31" t="s">
        <v>30</v>
      </c>
    </row>
    <row r="96" spans="25:30">
      <c r="Y96" s="24"/>
      <c r="Z96" s="34">
        <v>2012</v>
      </c>
      <c r="AA96" s="30">
        <v>170250</v>
      </c>
      <c r="AB96" s="30">
        <v>132500</v>
      </c>
      <c r="AC96" s="30">
        <v>117777.78</v>
      </c>
      <c r="AD96" s="31" t="s">
        <v>31</v>
      </c>
    </row>
    <row r="97" spans="25:30">
      <c r="Y97" s="24"/>
      <c r="Z97" s="34">
        <v>2011</v>
      </c>
      <c r="AA97" s="30">
        <v>174886</v>
      </c>
      <c r="AB97" s="30">
        <v>135916</v>
      </c>
      <c r="AC97" s="30">
        <v>120814</v>
      </c>
      <c r="AD97" s="31"/>
    </row>
    <row r="98" spans="25:30">
      <c r="Y98" s="24" t="s">
        <v>69</v>
      </c>
      <c r="Z98" s="34">
        <v>2012</v>
      </c>
      <c r="AA98" s="30">
        <v>172500</v>
      </c>
      <c r="AB98" s="30">
        <v>134750</v>
      </c>
      <c r="AC98" s="30">
        <v>119777.78</v>
      </c>
      <c r="AD98" s="31" t="s">
        <v>30</v>
      </c>
    </row>
    <row r="99" spans="25:30">
      <c r="Y99" s="24"/>
      <c r="Z99" s="34">
        <v>2012</v>
      </c>
      <c r="AA99" s="30">
        <v>170250</v>
      </c>
      <c r="AB99" s="30">
        <v>132500</v>
      </c>
      <c r="AC99" s="30">
        <v>117777.78</v>
      </c>
      <c r="AD99" s="31" t="s">
        <v>31</v>
      </c>
    </row>
    <row r="100" spans="25:30">
      <c r="Y100" s="24"/>
      <c r="Z100" s="34">
        <v>2011</v>
      </c>
      <c r="AA100" s="30">
        <v>167727</v>
      </c>
      <c r="AB100" s="30">
        <v>130146</v>
      </c>
      <c r="AC100" s="30">
        <v>115685</v>
      </c>
      <c r="AD100" s="31"/>
    </row>
    <row r="101" spans="25:30">
      <c r="Y101" s="24" t="s">
        <v>6</v>
      </c>
      <c r="Z101" s="34">
        <v>2012</v>
      </c>
      <c r="AA101" s="30">
        <v>188750</v>
      </c>
      <c r="AB101" s="30">
        <v>147750</v>
      </c>
      <c r="AC101" s="30">
        <v>131333.32999999999</v>
      </c>
      <c r="AD101" s="31" t="s">
        <v>30</v>
      </c>
    </row>
    <row r="102" spans="25:30">
      <c r="Y102" s="24"/>
      <c r="Z102" s="34">
        <v>2012</v>
      </c>
      <c r="AA102" s="30">
        <v>186500</v>
      </c>
      <c r="AB102" s="30">
        <v>145500</v>
      </c>
      <c r="AC102" s="30">
        <v>129333.34</v>
      </c>
      <c r="AD102" s="31" t="s">
        <v>31</v>
      </c>
    </row>
    <row r="103" spans="25:30">
      <c r="Y103" s="24"/>
      <c r="Z103" s="34">
        <v>2011</v>
      </c>
      <c r="AA103" s="30">
        <v>183681</v>
      </c>
      <c r="AB103" s="30">
        <v>142515</v>
      </c>
      <c r="AC103" s="30">
        <v>126680</v>
      </c>
      <c r="AD103" s="31"/>
    </row>
    <row r="104" spans="25:30">
      <c r="Y104" s="87" t="s">
        <v>16</v>
      </c>
      <c r="Z104" s="35">
        <v>2012</v>
      </c>
      <c r="AA104" s="45">
        <v>104867.27</v>
      </c>
      <c r="AB104" s="45">
        <v>79777.59</v>
      </c>
      <c r="AC104" s="45">
        <v>70913.41</v>
      </c>
      <c r="AD104" s="89" t="s">
        <v>29</v>
      </c>
    </row>
  </sheetData>
  <sortState xmlns:xlrd2="http://schemas.microsoft.com/office/spreadsheetml/2017/richdata2" ref="Y3:AD104">
    <sortCondition ref="Y3:Y104"/>
    <sortCondition descending="1" ref="Z3:Z104"/>
    <sortCondition ref="AD3:AD10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/>
  </sheetViews>
  <sheetFormatPr defaultColWidth="8.85546875" defaultRowHeight="15"/>
  <cols>
    <col min="1" max="1" width="8.5703125" style="66" bestFit="1" customWidth="1"/>
    <col min="2" max="2" width="5" style="67" bestFit="1" customWidth="1"/>
    <col min="3" max="3" width="20" style="68" bestFit="1" customWidth="1"/>
    <col min="4" max="4" width="19.85546875" style="66" bestFit="1" customWidth="1"/>
    <col min="5" max="5" width="19.7109375" style="69" bestFit="1" customWidth="1"/>
    <col min="6" max="6" width="43.140625" style="58" bestFit="1" customWidth="1"/>
    <col min="7" max="16384" width="8.85546875" style="58"/>
  </cols>
  <sheetData>
    <row r="1" spans="1:6" s="54" customFormat="1" ht="15.75" thickBot="1">
      <c r="A1" s="50" t="s">
        <v>2</v>
      </c>
      <c r="B1" s="50" t="s">
        <v>0</v>
      </c>
      <c r="C1" s="51" t="s">
        <v>32</v>
      </c>
      <c r="D1" s="52" t="s">
        <v>33</v>
      </c>
      <c r="E1" s="52" t="s">
        <v>34</v>
      </c>
      <c r="F1" s="53" t="s">
        <v>1</v>
      </c>
    </row>
    <row r="2" spans="1:6">
      <c r="A2" s="55" t="s">
        <v>154</v>
      </c>
      <c r="B2" s="56">
        <v>2017</v>
      </c>
      <c r="C2" s="57">
        <v>89000</v>
      </c>
      <c r="D2" s="55"/>
      <c r="E2" s="98">
        <v>74000</v>
      </c>
      <c r="F2" s="55" t="s">
        <v>204</v>
      </c>
    </row>
    <row r="3" spans="1:6">
      <c r="A3" s="59" t="s">
        <v>154</v>
      </c>
      <c r="B3" s="60">
        <v>2017</v>
      </c>
      <c r="C3" s="61">
        <v>79000</v>
      </c>
      <c r="D3" s="59"/>
      <c r="E3" s="62"/>
      <c r="F3" s="59" t="s">
        <v>153</v>
      </c>
    </row>
    <row r="4" spans="1:6">
      <c r="A4" s="59" t="s">
        <v>154</v>
      </c>
      <c r="B4" s="60">
        <v>2017</v>
      </c>
      <c r="C4" s="61">
        <v>64000</v>
      </c>
      <c r="D4" s="59"/>
      <c r="E4" s="62"/>
      <c r="F4" s="59" t="s">
        <v>174</v>
      </c>
    </row>
    <row r="5" spans="1:6" ht="14.45" customHeight="1">
      <c r="A5" s="59" t="s">
        <v>154</v>
      </c>
      <c r="B5" s="60">
        <v>2017</v>
      </c>
      <c r="C5" s="61">
        <v>86000</v>
      </c>
      <c r="D5" s="59"/>
      <c r="E5" s="62"/>
      <c r="F5" s="59" t="s">
        <v>159</v>
      </c>
    </row>
    <row r="6" spans="1:6" hidden="1">
      <c r="A6" s="59" t="s">
        <v>154</v>
      </c>
      <c r="B6" s="60">
        <v>2016</v>
      </c>
      <c r="C6" s="61">
        <v>89000</v>
      </c>
      <c r="D6" s="59"/>
      <c r="E6" s="65">
        <v>74000</v>
      </c>
      <c r="F6" s="59" t="s">
        <v>204</v>
      </c>
    </row>
    <row r="7" spans="1:6" hidden="1">
      <c r="A7" s="59" t="s">
        <v>154</v>
      </c>
      <c r="B7" s="60">
        <v>2016</v>
      </c>
      <c r="C7" s="61">
        <v>79000</v>
      </c>
      <c r="D7" s="59"/>
      <c r="E7" s="62"/>
      <c r="F7" s="59" t="s">
        <v>153</v>
      </c>
    </row>
    <row r="8" spans="1:6" hidden="1">
      <c r="A8" s="59" t="s">
        <v>154</v>
      </c>
      <c r="B8" s="60">
        <v>2016</v>
      </c>
      <c r="C8" s="61">
        <v>64000</v>
      </c>
      <c r="D8" s="59"/>
      <c r="E8" s="62"/>
      <c r="F8" s="59" t="s">
        <v>174</v>
      </c>
    </row>
    <row r="9" spans="1:6" hidden="1">
      <c r="A9" s="59" t="s">
        <v>154</v>
      </c>
      <c r="B9" s="60">
        <v>2016</v>
      </c>
      <c r="C9" s="61">
        <v>86000</v>
      </c>
      <c r="D9" s="59"/>
      <c r="E9" s="62"/>
      <c r="F9" s="59" t="s">
        <v>159</v>
      </c>
    </row>
    <row r="10" spans="1:6">
      <c r="A10" s="59" t="s">
        <v>79</v>
      </c>
      <c r="B10" s="60">
        <v>2012</v>
      </c>
      <c r="C10" s="61">
        <v>84400</v>
      </c>
      <c r="D10" s="59"/>
      <c r="E10" s="62"/>
      <c r="F10" s="59" t="s">
        <v>47</v>
      </c>
    </row>
    <row r="11" spans="1:6">
      <c r="A11" s="59" t="s">
        <v>79</v>
      </c>
      <c r="B11" s="60">
        <v>2012</v>
      </c>
      <c r="C11" s="61">
        <v>87200</v>
      </c>
      <c r="D11" s="59"/>
      <c r="E11" s="62"/>
      <c r="F11" s="59" t="s">
        <v>46</v>
      </c>
    </row>
    <row r="12" spans="1:6">
      <c r="A12" s="59" t="s">
        <v>79</v>
      </c>
      <c r="B12" s="60">
        <v>2012</v>
      </c>
      <c r="C12" s="61">
        <v>92000</v>
      </c>
      <c r="D12" s="59"/>
      <c r="E12" s="62"/>
      <c r="F12" s="59" t="s">
        <v>25</v>
      </c>
    </row>
    <row r="13" spans="1:6">
      <c r="A13" s="59" t="s">
        <v>79</v>
      </c>
      <c r="B13" s="60">
        <v>2012</v>
      </c>
      <c r="C13" s="61">
        <v>82600</v>
      </c>
      <c r="D13" s="59"/>
      <c r="E13" s="62"/>
      <c r="F13" s="59" t="s">
        <v>49</v>
      </c>
    </row>
    <row r="14" spans="1:6">
      <c r="A14" s="59" t="s">
        <v>79</v>
      </c>
      <c r="B14" s="60">
        <v>2012</v>
      </c>
      <c r="C14" s="61">
        <v>85400</v>
      </c>
      <c r="D14" s="59"/>
      <c r="E14" s="62"/>
      <c r="F14" s="59" t="s">
        <v>48</v>
      </c>
    </row>
    <row r="15" spans="1:6">
      <c r="A15" s="59" t="s">
        <v>155</v>
      </c>
      <c r="B15" s="60">
        <v>2016</v>
      </c>
      <c r="C15" s="61">
        <v>86000</v>
      </c>
      <c r="D15" s="59"/>
      <c r="E15" s="62"/>
      <c r="F15" s="136" t="s">
        <v>341</v>
      </c>
    </row>
    <row r="16" spans="1:6">
      <c r="A16" s="59" t="s">
        <v>80</v>
      </c>
      <c r="B16" s="60">
        <v>2017</v>
      </c>
      <c r="C16" s="61">
        <v>97000</v>
      </c>
      <c r="D16" s="59"/>
      <c r="E16" s="62"/>
      <c r="F16" s="59" t="s">
        <v>207</v>
      </c>
    </row>
    <row r="17" spans="1:6">
      <c r="A17" s="59" t="s">
        <v>80</v>
      </c>
      <c r="B17" s="60">
        <v>2017</v>
      </c>
      <c r="C17" s="61">
        <v>81000</v>
      </c>
      <c r="D17" s="59"/>
      <c r="E17" s="62"/>
      <c r="F17" s="59" t="s">
        <v>206</v>
      </c>
    </row>
    <row r="18" spans="1:6" hidden="1">
      <c r="A18" s="59" t="s">
        <v>80</v>
      </c>
      <c r="B18" s="60">
        <v>2016</v>
      </c>
      <c r="C18" s="61">
        <v>97000</v>
      </c>
      <c r="D18" s="59"/>
      <c r="E18" s="62"/>
      <c r="F18" s="59" t="s">
        <v>207</v>
      </c>
    </row>
    <row r="19" spans="1:6" hidden="1">
      <c r="A19" s="59" t="s">
        <v>80</v>
      </c>
      <c r="B19" s="60">
        <v>2016</v>
      </c>
      <c r="C19" s="61">
        <v>81000</v>
      </c>
      <c r="D19" s="59"/>
      <c r="E19" s="62"/>
      <c r="F19" s="59" t="s">
        <v>206</v>
      </c>
    </row>
    <row r="20" spans="1:6" hidden="1">
      <c r="A20" s="59" t="s">
        <v>80</v>
      </c>
      <c r="B20" s="60">
        <v>2012</v>
      </c>
      <c r="C20" s="61">
        <v>70800</v>
      </c>
      <c r="D20" s="63">
        <v>58100</v>
      </c>
      <c r="E20" s="62"/>
      <c r="F20" s="59"/>
    </row>
    <row r="21" spans="1:6">
      <c r="A21" s="59" t="s">
        <v>216</v>
      </c>
      <c r="B21" s="60">
        <v>2017</v>
      </c>
      <c r="C21" s="61">
        <v>85000</v>
      </c>
      <c r="D21" s="59"/>
      <c r="E21" s="62"/>
      <c r="F21" s="136" t="s">
        <v>341</v>
      </c>
    </row>
    <row r="22" spans="1:6" hidden="1">
      <c r="A22" s="64" t="s">
        <v>152</v>
      </c>
      <c r="B22" s="60">
        <v>2015</v>
      </c>
      <c r="C22" s="61">
        <v>65000</v>
      </c>
      <c r="D22" s="59"/>
      <c r="E22" s="62"/>
      <c r="F22" s="59" t="s">
        <v>151</v>
      </c>
    </row>
    <row r="23" spans="1:6">
      <c r="A23" s="64" t="s">
        <v>135</v>
      </c>
      <c r="B23" s="60">
        <v>2017</v>
      </c>
      <c r="C23" s="61">
        <v>98000</v>
      </c>
      <c r="D23" s="59"/>
      <c r="E23" s="62"/>
      <c r="F23" s="59" t="s">
        <v>25</v>
      </c>
    </row>
    <row r="24" spans="1:6" hidden="1">
      <c r="A24" s="64" t="s">
        <v>135</v>
      </c>
      <c r="B24" s="60">
        <v>2015</v>
      </c>
      <c r="C24" s="61">
        <v>85000</v>
      </c>
      <c r="D24" s="59"/>
      <c r="E24" s="62"/>
      <c r="F24" s="59"/>
    </row>
  </sheetData>
  <sortState xmlns:xlrd2="http://schemas.microsoft.com/office/spreadsheetml/2017/richdata2" ref="A2:F24">
    <sortCondition ref="A2:A24"/>
    <sortCondition descending="1" ref="B2:B24"/>
    <sortCondition ref="F2:F2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/>
  </sheetViews>
  <sheetFormatPr defaultRowHeight="15"/>
  <cols>
    <col min="1" max="1" width="12.5703125" style="2" bestFit="1" customWidth="1"/>
    <col min="2" max="2" width="5" style="4" bestFit="1" customWidth="1"/>
    <col min="3" max="3" width="20" style="6" bestFit="1" customWidth="1"/>
    <col min="4" max="4" width="21" style="2" bestFit="1" customWidth="1"/>
    <col min="5" max="5" width="21.140625" style="7" bestFit="1" customWidth="1"/>
    <col min="6" max="6" width="34.7109375" bestFit="1" customWidth="1"/>
  </cols>
  <sheetData>
    <row r="1" spans="1:6" s="7" customFormat="1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>
      <c r="A2" s="13" t="s">
        <v>81</v>
      </c>
      <c r="B2" s="14">
        <v>2017</v>
      </c>
      <c r="C2" s="21">
        <v>98000</v>
      </c>
      <c r="D2" s="13"/>
      <c r="E2" s="14"/>
      <c r="F2" s="13" t="s">
        <v>251</v>
      </c>
    </row>
    <row r="3" spans="1:6">
      <c r="A3" s="15" t="s">
        <v>81</v>
      </c>
      <c r="B3" s="16">
        <v>2017</v>
      </c>
      <c r="C3" s="19">
        <v>67000</v>
      </c>
      <c r="D3" s="15"/>
      <c r="E3" s="16"/>
      <c r="F3" s="15" t="s">
        <v>247</v>
      </c>
    </row>
    <row r="4" spans="1:6">
      <c r="A4" s="15" t="s">
        <v>81</v>
      </c>
      <c r="B4" s="16">
        <v>2017</v>
      </c>
      <c r="C4" s="19">
        <v>83000</v>
      </c>
      <c r="D4" s="15"/>
      <c r="E4" s="16"/>
      <c r="F4" s="15" t="s">
        <v>250</v>
      </c>
    </row>
    <row r="5" spans="1:6">
      <c r="A5" s="15" t="s">
        <v>81</v>
      </c>
      <c r="B5" s="16">
        <v>2017</v>
      </c>
      <c r="C5" s="19">
        <v>78000</v>
      </c>
      <c r="D5" s="15"/>
      <c r="E5" s="16"/>
      <c r="F5" s="15" t="s">
        <v>249</v>
      </c>
    </row>
    <row r="6" spans="1:6">
      <c r="A6" s="15" t="s">
        <v>81</v>
      </c>
      <c r="B6" s="16">
        <v>2016</v>
      </c>
      <c r="C6" s="19">
        <v>54900</v>
      </c>
      <c r="D6" s="15"/>
      <c r="E6" s="16"/>
      <c r="F6" s="15" t="s">
        <v>194</v>
      </c>
    </row>
    <row r="7" spans="1:6">
      <c r="A7" s="15" t="s">
        <v>81</v>
      </c>
      <c r="B7" s="16">
        <v>2016</v>
      </c>
      <c r="C7" s="19">
        <v>57550</v>
      </c>
      <c r="D7" s="15"/>
      <c r="E7" s="16"/>
      <c r="F7" s="15" t="s">
        <v>203</v>
      </c>
    </row>
    <row r="8" spans="1:6">
      <c r="A8" s="15" t="s">
        <v>81</v>
      </c>
      <c r="B8" s="16">
        <v>2016</v>
      </c>
      <c r="C8" s="19">
        <v>57550</v>
      </c>
      <c r="D8" s="15"/>
      <c r="E8" s="16"/>
      <c r="F8" s="15" t="s">
        <v>195</v>
      </c>
    </row>
    <row r="9" spans="1:6">
      <c r="A9" s="15" t="s">
        <v>81</v>
      </c>
      <c r="B9" s="16">
        <v>2016</v>
      </c>
      <c r="C9" s="19">
        <v>98000</v>
      </c>
      <c r="D9" s="15"/>
      <c r="E9" s="16"/>
      <c r="F9" s="15" t="s">
        <v>200</v>
      </c>
    </row>
    <row r="10" spans="1:6">
      <c r="A10" s="15" t="s">
        <v>81</v>
      </c>
      <c r="B10" s="16">
        <v>2016</v>
      </c>
      <c r="C10" s="19">
        <v>67500</v>
      </c>
      <c r="D10" s="15"/>
      <c r="E10" s="16"/>
      <c r="F10" s="15" t="s">
        <v>199</v>
      </c>
    </row>
    <row r="11" spans="1:6">
      <c r="A11" s="15" t="s">
        <v>81</v>
      </c>
      <c r="B11" s="16">
        <v>2016</v>
      </c>
      <c r="C11" s="19">
        <v>78000</v>
      </c>
      <c r="D11" s="15"/>
      <c r="E11" s="16"/>
      <c r="F11" s="15" t="s">
        <v>248</v>
      </c>
    </row>
    <row r="12" spans="1:6">
      <c r="A12" s="15" t="s">
        <v>81</v>
      </c>
      <c r="B12" s="16">
        <v>2012</v>
      </c>
      <c r="C12" s="19">
        <v>62000</v>
      </c>
      <c r="D12" s="15"/>
      <c r="E12" s="16"/>
      <c r="F12" s="15" t="s">
        <v>25</v>
      </c>
    </row>
    <row r="13" spans="1:6">
      <c r="A13" s="15" t="s">
        <v>81</v>
      </c>
      <c r="B13" s="16">
        <v>2012</v>
      </c>
      <c r="C13" s="19">
        <v>55000</v>
      </c>
      <c r="D13" s="15"/>
      <c r="E13" s="16"/>
      <c r="F13" s="15" t="s">
        <v>51</v>
      </c>
    </row>
    <row r="14" spans="1:6">
      <c r="A14" s="15"/>
      <c r="B14" s="16"/>
      <c r="C14" s="19"/>
      <c r="D14" s="15"/>
      <c r="E14" s="16"/>
      <c r="F14" s="15"/>
    </row>
    <row r="15" spans="1:6">
      <c r="A15" s="15"/>
      <c r="B15" s="16"/>
      <c r="C15" s="19"/>
      <c r="D15" s="15"/>
      <c r="E15" s="16"/>
      <c r="F15" s="15"/>
    </row>
    <row r="16" spans="1:6">
      <c r="A16" s="15"/>
      <c r="B16" s="16"/>
      <c r="C16" s="19"/>
      <c r="D16" s="15"/>
      <c r="E16" s="16"/>
      <c r="F16" s="15"/>
    </row>
    <row r="17" spans="1:6">
      <c r="A17" s="15"/>
      <c r="B17" s="16"/>
      <c r="C17" s="19"/>
      <c r="D17" s="15"/>
      <c r="E17" s="16"/>
      <c r="F17" s="15"/>
    </row>
    <row r="18" spans="1:6">
      <c r="A18" s="15"/>
      <c r="B18" s="16"/>
      <c r="C18" s="19"/>
      <c r="D18" s="15"/>
      <c r="E18" s="16"/>
      <c r="F18" s="15"/>
    </row>
    <row r="19" spans="1:6">
      <c r="A19" s="15"/>
      <c r="B19" s="16"/>
      <c r="C19" s="19"/>
      <c r="D19" s="15"/>
      <c r="E19" s="16"/>
      <c r="F19" s="15"/>
    </row>
    <row r="20" spans="1:6">
      <c r="A20" s="15"/>
      <c r="B20" s="16"/>
      <c r="C20" s="19"/>
      <c r="D20" s="15"/>
      <c r="E20" s="16"/>
      <c r="F20" s="15"/>
    </row>
    <row r="21" spans="1:6">
      <c r="A21" s="15"/>
      <c r="B21" s="16"/>
      <c r="C21" s="19"/>
      <c r="D21" s="15"/>
      <c r="E21" s="16"/>
      <c r="F21" s="15"/>
    </row>
    <row r="22" spans="1:6">
      <c r="A22" s="15"/>
      <c r="B22" s="16"/>
      <c r="C22" s="19"/>
      <c r="D22" s="15"/>
      <c r="E22" s="16"/>
      <c r="F22" s="15"/>
    </row>
    <row r="23" spans="1:6">
      <c r="A23" s="15"/>
      <c r="B23" s="16"/>
      <c r="C23" s="19"/>
      <c r="D23" s="15"/>
      <c r="E23" s="16"/>
      <c r="F23" s="15"/>
    </row>
    <row r="24" spans="1:6">
      <c r="A24" s="15"/>
      <c r="B24" s="16"/>
      <c r="C24" s="19"/>
      <c r="D24" s="15"/>
      <c r="E24" s="16"/>
      <c r="F24" s="15"/>
    </row>
    <row r="25" spans="1:6">
      <c r="A25" s="15"/>
      <c r="B25" s="16"/>
      <c r="C25" s="19"/>
      <c r="D25" s="15"/>
      <c r="E25" s="16"/>
      <c r="F25" s="15"/>
    </row>
    <row r="26" spans="1:6">
      <c r="A26" s="15"/>
      <c r="B26" s="16"/>
      <c r="C26" s="19"/>
      <c r="D26" s="15"/>
      <c r="E26" s="16"/>
      <c r="F26" s="15"/>
    </row>
    <row r="27" spans="1:6">
      <c r="A27" s="15"/>
      <c r="B27" s="16"/>
      <c r="C27" s="19"/>
      <c r="D27" s="15"/>
      <c r="E27" s="16"/>
      <c r="F27" s="15"/>
    </row>
    <row r="28" spans="1:6">
      <c r="A28" s="15"/>
      <c r="B28" s="16"/>
      <c r="C28" s="19"/>
      <c r="D28" s="15"/>
      <c r="E28" s="16"/>
      <c r="F28" s="15"/>
    </row>
  </sheetData>
  <sortState xmlns:xlrd2="http://schemas.microsoft.com/office/spreadsheetml/2017/richdata2" ref="A2:F13">
    <sortCondition ref="A2:A13"/>
    <sortCondition descending="1" ref="B2:B13"/>
    <sortCondition ref="F2:F1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workbookViewId="0"/>
  </sheetViews>
  <sheetFormatPr defaultRowHeight="15"/>
  <cols>
    <col min="1" max="1" width="13.5703125" bestFit="1" customWidth="1"/>
    <col min="2" max="2" width="5" style="7" bestFit="1" customWidth="1"/>
    <col min="3" max="3" width="20.85546875" bestFit="1" customWidth="1"/>
    <col min="4" max="4" width="21" style="7" bestFit="1" customWidth="1"/>
    <col min="5" max="5" width="21.140625" bestFit="1" customWidth="1"/>
    <col min="6" max="6" width="19.85546875" bestFit="1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>
      <c r="A2" s="13" t="s">
        <v>82</v>
      </c>
      <c r="B2" s="14">
        <v>2011</v>
      </c>
      <c r="C2" s="25">
        <v>61612</v>
      </c>
      <c r="D2" s="25">
        <v>57433.52</v>
      </c>
      <c r="E2" s="23">
        <v>51052.01</v>
      </c>
      <c r="F2" s="13" t="s">
        <v>35</v>
      </c>
    </row>
    <row r="3" spans="1:6">
      <c r="A3" s="38" t="s">
        <v>82</v>
      </c>
      <c r="B3" s="16">
        <v>2011</v>
      </c>
      <c r="C3" s="24">
        <v>70665</v>
      </c>
      <c r="D3" s="26">
        <v>65804.600000000006</v>
      </c>
      <c r="E3" s="24">
        <v>58492.97</v>
      </c>
      <c r="F3" s="15" t="s">
        <v>25</v>
      </c>
    </row>
    <row r="4" spans="1:6">
      <c r="A4" s="15" t="s">
        <v>83</v>
      </c>
      <c r="B4" s="16">
        <v>2017</v>
      </c>
      <c r="C4" s="24">
        <v>78500</v>
      </c>
      <c r="D4" s="26"/>
      <c r="E4" s="24"/>
      <c r="F4" s="15" t="s">
        <v>131</v>
      </c>
    </row>
    <row r="5" spans="1:6">
      <c r="A5" s="15" t="s">
        <v>83</v>
      </c>
      <c r="B5" s="16">
        <v>2017</v>
      </c>
      <c r="C5" s="24">
        <v>83500</v>
      </c>
      <c r="D5" s="26"/>
      <c r="E5" s="24"/>
      <c r="F5" s="15" t="s">
        <v>132</v>
      </c>
    </row>
    <row r="6" spans="1:6" hidden="1">
      <c r="A6" s="15" t="s">
        <v>83</v>
      </c>
      <c r="B6" s="16">
        <v>2016</v>
      </c>
      <c r="C6" s="24">
        <v>78500</v>
      </c>
      <c r="D6" s="26"/>
      <c r="E6" s="24"/>
      <c r="F6" s="15" t="s">
        <v>131</v>
      </c>
    </row>
    <row r="7" spans="1:6" hidden="1">
      <c r="A7" s="15" t="s">
        <v>83</v>
      </c>
      <c r="B7" s="16">
        <v>2016</v>
      </c>
      <c r="C7" s="24">
        <v>83500</v>
      </c>
      <c r="D7" s="26"/>
      <c r="E7" s="24"/>
      <c r="F7" s="15" t="s">
        <v>132</v>
      </c>
    </row>
    <row r="8" spans="1:6" hidden="1">
      <c r="A8" s="15" t="s">
        <v>83</v>
      </c>
      <c r="B8" s="16">
        <v>2011</v>
      </c>
      <c r="C8" s="24">
        <v>83804</v>
      </c>
      <c r="D8" s="26">
        <v>72531.210000000006</v>
      </c>
      <c r="E8" s="24">
        <v>64472.18</v>
      </c>
      <c r="F8" s="15"/>
    </row>
    <row r="9" spans="1:6">
      <c r="A9" s="15" t="s">
        <v>84</v>
      </c>
      <c r="B9" s="16">
        <v>2011</v>
      </c>
      <c r="C9" s="24">
        <v>74007</v>
      </c>
      <c r="D9" s="26">
        <v>68905.05</v>
      </c>
      <c r="E9" s="24">
        <v>61248.93</v>
      </c>
      <c r="F9" s="15" t="s">
        <v>341</v>
      </c>
    </row>
    <row r="10" spans="1:6">
      <c r="A10" s="15" t="s">
        <v>86</v>
      </c>
      <c r="B10" s="16">
        <v>2013</v>
      </c>
      <c r="C10" s="24">
        <v>127000</v>
      </c>
      <c r="D10" s="16"/>
      <c r="E10" s="15"/>
      <c r="F10" s="15" t="s">
        <v>36</v>
      </c>
    </row>
    <row r="11" spans="1:6">
      <c r="A11" s="15" t="s">
        <v>86</v>
      </c>
      <c r="B11" s="16">
        <v>2012</v>
      </c>
      <c r="C11" s="24">
        <v>125000</v>
      </c>
      <c r="D11" s="16"/>
      <c r="E11" s="15"/>
      <c r="F11" s="15" t="s">
        <v>36</v>
      </c>
    </row>
    <row r="12" spans="1:6">
      <c r="A12" s="15" t="s">
        <v>86</v>
      </c>
      <c r="B12" s="16">
        <v>2011</v>
      </c>
      <c r="C12" s="24">
        <v>151875</v>
      </c>
      <c r="D12" s="26">
        <v>117582.09</v>
      </c>
      <c r="E12" s="24">
        <v>104517.41</v>
      </c>
      <c r="F12" s="15" t="s">
        <v>29</v>
      </c>
    </row>
    <row r="13" spans="1:6">
      <c r="A13" s="15" t="s">
        <v>86</v>
      </c>
      <c r="B13" s="16">
        <v>2011</v>
      </c>
      <c r="C13" s="24">
        <v>145125</v>
      </c>
      <c r="D13" s="26">
        <v>112377.38</v>
      </c>
      <c r="E13" s="24">
        <v>99891</v>
      </c>
      <c r="F13" s="15"/>
    </row>
    <row r="14" spans="1:6">
      <c r="A14" s="15" t="s">
        <v>87</v>
      </c>
      <c r="B14" s="16">
        <v>2011</v>
      </c>
      <c r="C14" s="24">
        <v>119054</v>
      </c>
      <c r="D14" s="26"/>
      <c r="E14" s="24"/>
      <c r="F14" s="15"/>
    </row>
    <row r="15" spans="1:6">
      <c r="A15" s="15" t="s">
        <v>85</v>
      </c>
      <c r="B15" s="16">
        <v>2012</v>
      </c>
      <c r="C15" s="24">
        <v>131000</v>
      </c>
      <c r="D15" s="16"/>
      <c r="E15" s="15"/>
      <c r="F15" s="15" t="s">
        <v>341</v>
      </c>
    </row>
    <row r="16" spans="1:6" hidden="1">
      <c r="A16" s="15" t="s">
        <v>85</v>
      </c>
      <c r="B16" s="16">
        <v>2011</v>
      </c>
      <c r="C16" s="24">
        <v>119054</v>
      </c>
      <c r="D16" s="26">
        <v>89402.94</v>
      </c>
      <c r="E16" s="24">
        <v>79469.279999999999</v>
      </c>
      <c r="F16" s="15"/>
    </row>
    <row r="17" spans="1:6">
      <c r="A17" s="15"/>
      <c r="B17" s="16"/>
      <c r="C17" s="24"/>
      <c r="D17" s="26"/>
      <c r="E17" s="24"/>
      <c r="F17" s="15"/>
    </row>
    <row r="18" spans="1:6">
      <c r="A18" s="15"/>
      <c r="B18" s="16"/>
      <c r="C18" s="24"/>
      <c r="D18" s="26"/>
      <c r="E18" s="24"/>
      <c r="F18" s="15"/>
    </row>
    <row r="19" spans="1:6">
      <c r="A19" s="15"/>
      <c r="B19" s="16"/>
      <c r="C19" s="24"/>
      <c r="D19" s="26"/>
      <c r="E19" s="24"/>
      <c r="F19" s="15"/>
    </row>
    <row r="20" spans="1:6">
      <c r="A20" s="15"/>
      <c r="B20" s="16"/>
      <c r="C20" s="24"/>
      <c r="D20" s="26"/>
      <c r="E20" s="24"/>
      <c r="F20" s="15"/>
    </row>
    <row r="21" spans="1:6">
      <c r="A21" s="15"/>
      <c r="B21" s="16"/>
      <c r="C21" s="24"/>
      <c r="D21" s="26"/>
      <c r="E21" s="24"/>
      <c r="F21" s="15"/>
    </row>
    <row r="22" spans="1:6">
      <c r="A22" s="15"/>
      <c r="B22" s="16"/>
      <c r="C22" s="24"/>
      <c r="D22" s="26"/>
      <c r="E22" s="24"/>
      <c r="F22" s="15"/>
    </row>
    <row r="23" spans="1:6">
      <c r="A23" s="15"/>
      <c r="B23" s="16"/>
      <c r="C23" s="24"/>
      <c r="D23" s="26"/>
      <c r="E23" s="24"/>
      <c r="F23" s="15"/>
    </row>
    <row r="24" spans="1:6">
      <c r="A24" s="15"/>
      <c r="B24" s="16"/>
      <c r="C24" s="24"/>
      <c r="D24" s="26"/>
      <c r="E24" s="24"/>
      <c r="F24" s="15"/>
    </row>
    <row r="25" spans="1:6">
      <c r="A25" s="15"/>
      <c r="B25" s="16"/>
      <c r="C25" s="24"/>
      <c r="D25" s="26"/>
      <c r="E25" s="24"/>
      <c r="F25" s="15"/>
    </row>
    <row r="26" spans="1:6">
      <c r="A26" s="15"/>
      <c r="B26" s="16"/>
      <c r="C26" s="24"/>
      <c r="D26" s="26"/>
      <c r="E26" s="24"/>
      <c r="F26" s="15"/>
    </row>
    <row r="27" spans="1:6">
      <c r="A27" s="15"/>
      <c r="B27" s="16"/>
      <c r="C27" s="24"/>
      <c r="D27" s="26"/>
      <c r="E27" s="24"/>
      <c r="F27" s="15"/>
    </row>
    <row r="28" spans="1:6">
      <c r="A28" s="15"/>
      <c r="B28" s="16"/>
      <c r="C28" s="24"/>
      <c r="D28" s="26"/>
      <c r="E28" s="24"/>
      <c r="F28" s="15"/>
    </row>
  </sheetData>
  <sortState xmlns:xlrd2="http://schemas.microsoft.com/office/spreadsheetml/2017/richdata2" ref="A2:F17">
    <sortCondition ref="A2:A17"/>
    <sortCondition descending="1" ref="B2:B17"/>
    <sortCondition ref="F2:F1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workbookViewId="0"/>
  </sheetViews>
  <sheetFormatPr defaultRowHeight="15"/>
  <cols>
    <col min="1" max="1" width="16" bestFit="1" customWidth="1"/>
    <col min="2" max="2" width="5" style="7" bestFit="1" customWidth="1"/>
    <col min="3" max="3" width="20" style="7" bestFit="1" customWidth="1"/>
    <col min="4" max="4" width="21" style="7" bestFit="1" customWidth="1"/>
    <col min="5" max="5" width="21.140625" style="7" bestFit="1" customWidth="1"/>
    <col min="6" max="6" width="13.85546875" bestFit="1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>
      <c r="A2" s="15" t="s">
        <v>90</v>
      </c>
      <c r="B2" s="16">
        <v>2012</v>
      </c>
      <c r="C2" s="26">
        <v>41750</v>
      </c>
      <c r="D2" s="26">
        <v>39098.839999999997</v>
      </c>
      <c r="E2" s="26">
        <v>34754.519999999997</v>
      </c>
      <c r="F2" s="15" t="s">
        <v>341</v>
      </c>
    </row>
    <row r="3" spans="1:6">
      <c r="A3" s="15" t="s">
        <v>88</v>
      </c>
      <c r="B3" s="16">
        <v>2012</v>
      </c>
      <c r="C3" s="24">
        <v>81000</v>
      </c>
      <c r="D3" s="26">
        <v>63079.24</v>
      </c>
      <c r="E3" s="24">
        <v>56070.43</v>
      </c>
      <c r="F3" s="15" t="s">
        <v>36</v>
      </c>
    </row>
    <row r="4" spans="1:6">
      <c r="A4" s="15" t="s">
        <v>88</v>
      </c>
      <c r="B4" s="16">
        <v>2012</v>
      </c>
      <c r="C4" s="24">
        <v>94000</v>
      </c>
      <c r="D4" s="26">
        <v>73129.55</v>
      </c>
      <c r="E4" s="24">
        <v>65004.04</v>
      </c>
      <c r="F4" s="15" t="s">
        <v>29</v>
      </c>
    </row>
    <row r="5" spans="1:6">
      <c r="A5" s="15" t="s">
        <v>89</v>
      </c>
      <c r="B5" s="16">
        <v>2012</v>
      </c>
      <c r="C5" s="24">
        <v>58000</v>
      </c>
      <c r="D5" s="26">
        <v>45281</v>
      </c>
      <c r="E5" s="24">
        <v>40249.769999999997</v>
      </c>
      <c r="F5" s="15" t="s">
        <v>341</v>
      </c>
    </row>
    <row r="6" spans="1:6">
      <c r="A6" s="15"/>
      <c r="B6" s="16"/>
      <c r="C6" s="26"/>
      <c r="D6" s="26"/>
      <c r="E6" s="26"/>
      <c r="F6" s="15"/>
    </row>
    <row r="7" spans="1:6">
      <c r="A7" s="15"/>
      <c r="B7" s="16"/>
      <c r="C7" s="26"/>
      <c r="D7" s="26"/>
      <c r="E7" s="26"/>
      <c r="F7" s="15"/>
    </row>
    <row r="8" spans="1:6">
      <c r="A8" s="15"/>
      <c r="B8" s="16"/>
      <c r="C8" s="26"/>
      <c r="D8" s="26"/>
      <c r="E8" s="26"/>
      <c r="F8" s="15"/>
    </row>
    <row r="9" spans="1:6">
      <c r="A9" s="15"/>
      <c r="B9" s="16"/>
      <c r="C9" s="26"/>
      <c r="D9" s="26"/>
      <c r="E9" s="26"/>
      <c r="F9" s="15"/>
    </row>
    <row r="10" spans="1:6">
      <c r="A10" s="15"/>
      <c r="B10" s="16"/>
      <c r="C10" s="26"/>
      <c r="D10" s="26"/>
      <c r="E10" s="26"/>
      <c r="F10" s="15"/>
    </row>
    <row r="11" spans="1:6">
      <c r="A11" s="15"/>
      <c r="B11" s="16"/>
      <c r="C11" s="26"/>
      <c r="D11" s="26"/>
      <c r="E11" s="26"/>
      <c r="F11" s="15"/>
    </row>
    <row r="12" spans="1:6">
      <c r="A12" s="15"/>
      <c r="B12" s="16"/>
      <c r="C12" s="26"/>
      <c r="D12" s="26"/>
      <c r="E12" s="26"/>
      <c r="F12" s="15"/>
    </row>
    <row r="13" spans="1:6">
      <c r="A13" s="15"/>
      <c r="B13" s="16"/>
      <c r="C13" s="26"/>
      <c r="D13" s="26"/>
      <c r="E13" s="26"/>
      <c r="F13" s="15"/>
    </row>
    <row r="14" spans="1:6">
      <c r="A14" s="15"/>
      <c r="B14" s="16"/>
      <c r="C14" s="26"/>
      <c r="D14" s="26"/>
      <c r="E14" s="26"/>
      <c r="F14" s="15"/>
    </row>
    <row r="15" spans="1:6">
      <c r="A15" s="15"/>
      <c r="B15" s="16"/>
      <c r="C15" s="26"/>
      <c r="D15" s="26"/>
      <c r="E15" s="26"/>
      <c r="F15" s="15"/>
    </row>
    <row r="16" spans="1:6">
      <c r="A16" s="15"/>
      <c r="B16" s="16"/>
      <c r="C16" s="26"/>
      <c r="D16" s="26"/>
      <c r="E16" s="26"/>
      <c r="F16" s="15"/>
    </row>
    <row r="17" spans="1:6">
      <c r="A17" s="15"/>
      <c r="B17" s="16"/>
      <c r="C17" s="26"/>
      <c r="D17" s="26"/>
      <c r="E17" s="26"/>
      <c r="F17" s="15"/>
    </row>
    <row r="18" spans="1:6">
      <c r="A18" s="15"/>
      <c r="B18" s="16"/>
      <c r="C18" s="26"/>
      <c r="D18" s="26"/>
      <c r="E18" s="26"/>
      <c r="F18" s="15"/>
    </row>
    <row r="19" spans="1:6">
      <c r="A19" s="15"/>
      <c r="B19" s="16"/>
      <c r="C19" s="26"/>
      <c r="D19" s="26"/>
      <c r="E19" s="26"/>
      <c r="F19" s="15"/>
    </row>
    <row r="20" spans="1:6">
      <c r="A20" s="15"/>
      <c r="B20" s="16"/>
      <c r="C20" s="26"/>
      <c r="D20" s="26"/>
      <c r="E20" s="26"/>
      <c r="F20" s="15"/>
    </row>
    <row r="21" spans="1:6">
      <c r="A21" s="15"/>
      <c r="B21" s="16"/>
      <c r="C21" s="26"/>
      <c r="D21" s="26"/>
      <c r="E21" s="26"/>
      <c r="F21" s="15"/>
    </row>
    <row r="22" spans="1:6">
      <c r="A22" s="15"/>
      <c r="B22" s="16"/>
      <c r="C22" s="26"/>
      <c r="D22" s="26"/>
      <c r="E22" s="26"/>
      <c r="F22" s="15"/>
    </row>
    <row r="23" spans="1:6">
      <c r="A23" s="15"/>
      <c r="B23" s="16"/>
      <c r="C23" s="26"/>
      <c r="D23" s="26"/>
      <c r="E23" s="26"/>
      <c r="F23" s="15"/>
    </row>
    <row r="24" spans="1:6">
      <c r="A24" s="15"/>
      <c r="B24" s="16"/>
      <c r="C24" s="26"/>
      <c r="D24" s="26"/>
      <c r="E24" s="26"/>
      <c r="F24" s="15"/>
    </row>
    <row r="25" spans="1:6">
      <c r="A25" s="15"/>
      <c r="B25" s="16"/>
      <c r="C25" s="26"/>
      <c r="D25" s="26"/>
      <c r="E25" s="26"/>
      <c r="F25" s="15"/>
    </row>
    <row r="26" spans="1:6">
      <c r="A26" s="15"/>
      <c r="B26" s="16"/>
      <c r="C26" s="26"/>
      <c r="D26" s="26"/>
      <c r="E26" s="26"/>
      <c r="F26" s="15"/>
    </row>
    <row r="27" spans="1:6">
      <c r="A27" s="15"/>
      <c r="B27" s="16"/>
      <c r="C27" s="26"/>
      <c r="D27" s="26"/>
      <c r="E27" s="26"/>
      <c r="F27" s="15"/>
    </row>
  </sheetData>
  <sortState xmlns:xlrd2="http://schemas.microsoft.com/office/spreadsheetml/2017/richdata2" ref="A2:F5">
    <sortCondition ref="A2:A5"/>
    <sortCondition descending="1" ref="B2:B5"/>
    <sortCondition ref="F2:F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/>
  </sheetViews>
  <sheetFormatPr defaultRowHeight="15"/>
  <cols>
    <col min="1" max="1" width="8.28515625" bestFit="1" customWidth="1"/>
    <col min="2" max="2" width="5" style="7" bestFit="1" customWidth="1"/>
    <col min="3" max="3" width="20.85546875" style="22" bestFit="1" customWidth="1"/>
    <col min="4" max="4" width="21" bestFit="1" customWidth="1"/>
    <col min="5" max="5" width="21.140625" style="7" bestFit="1" customWidth="1"/>
    <col min="6" max="6" width="14.28515625" bestFit="1" customWidth="1"/>
  </cols>
  <sheetData>
    <row r="1" spans="1:6" ht="15.75" thickBot="1">
      <c r="A1" s="10" t="s">
        <v>2</v>
      </c>
      <c r="B1" s="10" t="s">
        <v>0</v>
      </c>
      <c r="C1" s="20" t="s">
        <v>32</v>
      </c>
      <c r="D1" s="11" t="s">
        <v>33</v>
      </c>
      <c r="E1" s="11" t="s">
        <v>34</v>
      </c>
      <c r="F1" s="12" t="s">
        <v>1</v>
      </c>
    </row>
    <row r="2" spans="1:6">
      <c r="A2" s="13" t="s">
        <v>96</v>
      </c>
      <c r="B2" s="14">
        <v>2012</v>
      </c>
      <c r="C2" s="36">
        <v>58000</v>
      </c>
      <c r="D2" s="23">
        <v>43609.99</v>
      </c>
      <c r="E2" s="25">
        <v>38764.43</v>
      </c>
      <c r="F2" s="13" t="s">
        <v>246</v>
      </c>
    </row>
    <row r="3" spans="1:6">
      <c r="A3" s="15" t="s">
        <v>97</v>
      </c>
      <c r="B3" s="16">
        <v>2012</v>
      </c>
      <c r="C3" s="37">
        <v>62000</v>
      </c>
      <c r="D3" s="24">
        <v>46587.49</v>
      </c>
      <c r="E3" s="26">
        <v>41411.1</v>
      </c>
      <c r="F3" s="15" t="s">
        <v>246</v>
      </c>
    </row>
    <row r="4" spans="1:6">
      <c r="A4" s="15" t="s">
        <v>91</v>
      </c>
      <c r="B4" s="16">
        <v>2015</v>
      </c>
      <c r="C4" s="37">
        <v>82500</v>
      </c>
      <c r="D4" s="24"/>
      <c r="E4" s="26"/>
      <c r="F4" s="15" t="s">
        <v>37</v>
      </c>
    </row>
    <row r="5" spans="1:6" hidden="1">
      <c r="A5" s="15" t="s">
        <v>91</v>
      </c>
      <c r="B5" s="16">
        <v>2012</v>
      </c>
      <c r="C5" s="37">
        <v>65812.5</v>
      </c>
      <c r="D5" s="24">
        <v>61393.37</v>
      </c>
      <c r="E5" s="26">
        <v>54571.88</v>
      </c>
      <c r="F5" s="15" t="s">
        <v>37</v>
      </c>
    </row>
    <row r="6" spans="1:6" hidden="1">
      <c r="A6" s="15" t="s">
        <v>91</v>
      </c>
      <c r="B6" s="16">
        <v>2010</v>
      </c>
      <c r="C6" s="37">
        <v>55289</v>
      </c>
      <c r="D6" s="24">
        <v>51530.85</v>
      </c>
      <c r="E6" s="26">
        <v>45805.2</v>
      </c>
      <c r="F6" s="15" t="s">
        <v>27</v>
      </c>
    </row>
    <row r="7" spans="1:6">
      <c r="A7" s="15" t="s">
        <v>94</v>
      </c>
      <c r="B7" s="16">
        <v>2012</v>
      </c>
      <c r="C7" s="37">
        <v>57250</v>
      </c>
      <c r="D7" s="24"/>
      <c r="E7" s="26"/>
      <c r="F7" s="15" t="s">
        <v>39</v>
      </c>
    </row>
    <row r="8" spans="1:6">
      <c r="A8" s="15" t="s">
        <v>94</v>
      </c>
      <c r="B8" s="16">
        <v>2012</v>
      </c>
      <c r="C8" s="37">
        <v>50625</v>
      </c>
      <c r="D8" s="24"/>
      <c r="E8" s="26"/>
      <c r="F8" s="15" t="s">
        <v>38</v>
      </c>
    </row>
    <row r="9" spans="1:6">
      <c r="A9" s="15" t="s">
        <v>94</v>
      </c>
      <c r="B9" s="16">
        <v>2012</v>
      </c>
      <c r="C9" s="37">
        <v>45000</v>
      </c>
      <c r="D9" s="24">
        <v>42009.19</v>
      </c>
      <c r="E9" s="26">
        <v>37341.5</v>
      </c>
      <c r="F9" s="15" t="s">
        <v>342</v>
      </c>
    </row>
    <row r="10" spans="1:6">
      <c r="A10" s="15" t="s">
        <v>94</v>
      </c>
      <c r="B10" s="16">
        <v>2012</v>
      </c>
      <c r="C10" s="37">
        <v>50500</v>
      </c>
      <c r="D10" s="24">
        <v>47200</v>
      </c>
      <c r="E10" s="26">
        <v>41955.55</v>
      </c>
      <c r="F10" s="15" t="s">
        <v>343</v>
      </c>
    </row>
    <row r="11" spans="1:6">
      <c r="A11" s="15" t="s">
        <v>95</v>
      </c>
      <c r="B11" s="16">
        <v>2012</v>
      </c>
      <c r="C11" s="37">
        <v>36000</v>
      </c>
      <c r="D11" s="24">
        <v>27029.25</v>
      </c>
      <c r="E11" s="26">
        <v>24026</v>
      </c>
      <c r="F11" s="15" t="s">
        <v>246</v>
      </c>
    </row>
    <row r="12" spans="1:6">
      <c r="A12" s="15" t="s">
        <v>93</v>
      </c>
      <c r="B12" s="16">
        <v>2012</v>
      </c>
      <c r="C12" s="37">
        <v>125000</v>
      </c>
      <c r="D12" s="24">
        <v>97317.49</v>
      </c>
      <c r="E12" s="26">
        <v>86504.43</v>
      </c>
      <c r="F12" s="15" t="s">
        <v>29</v>
      </c>
    </row>
    <row r="13" spans="1:6">
      <c r="A13" s="15" t="s">
        <v>93</v>
      </c>
      <c r="B13" s="16">
        <v>2012</v>
      </c>
      <c r="C13" s="37">
        <v>108000</v>
      </c>
      <c r="D13" s="24">
        <v>84254.3</v>
      </c>
      <c r="E13" s="26">
        <v>74892.710000000006</v>
      </c>
      <c r="F13" s="15" t="s">
        <v>36</v>
      </c>
    </row>
    <row r="14" spans="1:6">
      <c r="A14" s="15" t="s">
        <v>93</v>
      </c>
      <c r="B14" s="16">
        <v>2012</v>
      </c>
      <c r="C14" s="37">
        <v>97000</v>
      </c>
      <c r="D14" s="24">
        <v>75452.490000000005</v>
      </c>
      <c r="E14" s="26">
        <v>67068.88</v>
      </c>
      <c r="F14" s="15" t="s">
        <v>344</v>
      </c>
    </row>
    <row r="15" spans="1:6">
      <c r="A15" s="15" t="s">
        <v>98</v>
      </c>
      <c r="B15" s="16">
        <v>2012</v>
      </c>
      <c r="C15" s="37">
        <v>82000</v>
      </c>
      <c r="D15" s="24">
        <v>61474.98</v>
      </c>
      <c r="E15" s="26">
        <v>54644.42</v>
      </c>
      <c r="F15" s="15" t="s">
        <v>246</v>
      </c>
    </row>
    <row r="16" spans="1:6">
      <c r="A16" s="15" t="s">
        <v>92</v>
      </c>
      <c r="B16" s="16">
        <v>2016</v>
      </c>
      <c r="C16" s="37">
        <v>88700</v>
      </c>
      <c r="D16" s="24"/>
      <c r="E16" s="26"/>
      <c r="F16" s="15" t="s">
        <v>178</v>
      </c>
    </row>
    <row r="17" spans="1:6" hidden="1">
      <c r="A17" s="15" t="s">
        <v>92</v>
      </c>
      <c r="B17" s="16">
        <v>2012</v>
      </c>
      <c r="C17" s="37">
        <v>110250</v>
      </c>
      <c r="D17" s="24">
        <v>81155.55</v>
      </c>
      <c r="E17" s="26">
        <v>74804.929999999993</v>
      </c>
      <c r="F17" s="15"/>
    </row>
    <row r="18" spans="1:6" hidden="1">
      <c r="A18" s="15" t="s">
        <v>92</v>
      </c>
      <c r="B18" s="16">
        <v>2012</v>
      </c>
      <c r="C18" s="37">
        <v>94500</v>
      </c>
      <c r="D18" s="24">
        <v>72486.87</v>
      </c>
      <c r="E18" s="26">
        <v>64432.77</v>
      </c>
      <c r="F18" s="15"/>
    </row>
    <row r="19" spans="1:6" hidden="1">
      <c r="A19" s="15" t="s">
        <v>92</v>
      </c>
      <c r="B19" s="16">
        <v>2012</v>
      </c>
      <c r="C19" s="37">
        <v>83841.69</v>
      </c>
      <c r="D19" s="24">
        <v>65305.03</v>
      </c>
      <c r="E19" s="26">
        <v>58048.91</v>
      </c>
      <c r="F19" s="15"/>
    </row>
    <row r="20" spans="1:6" hidden="1">
      <c r="A20" s="15" t="s">
        <v>92</v>
      </c>
      <c r="B20" s="16">
        <v>2012</v>
      </c>
      <c r="C20" s="37">
        <v>76500</v>
      </c>
      <c r="D20" s="24">
        <v>58670.21</v>
      </c>
      <c r="E20" s="26">
        <v>52151.3</v>
      </c>
      <c r="F20" s="15"/>
    </row>
    <row r="21" spans="1:6">
      <c r="A21" s="15"/>
      <c r="B21" s="16"/>
      <c r="C21" s="37"/>
      <c r="D21" s="24"/>
      <c r="E21" s="26"/>
      <c r="F21" s="15"/>
    </row>
    <row r="22" spans="1:6">
      <c r="A22" s="15"/>
      <c r="B22" s="16"/>
      <c r="C22" s="37"/>
      <c r="D22" s="24"/>
      <c r="E22" s="26"/>
      <c r="F22" s="15"/>
    </row>
    <row r="23" spans="1:6">
      <c r="A23" s="15"/>
      <c r="B23" s="16"/>
      <c r="C23" s="37"/>
      <c r="D23" s="24"/>
      <c r="E23" s="26"/>
      <c r="F23" s="15"/>
    </row>
    <row r="24" spans="1:6">
      <c r="A24" s="15"/>
      <c r="B24" s="16"/>
      <c r="C24" s="37"/>
      <c r="D24" s="24"/>
      <c r="E24" s="26"/>
      <c r="F24" s="15"/>
    </row>
    <row r="25" spans="1:6">
      <c r="A25" s="15"/>
      <c r="B25" s="16"/>
      <c r="C25" s="37"/>
      <c r="D25" s="24"/>
      <c r="E25" s="26"/>
      <c r="F25" s="15"/>
    </row>
    <row r="26" spans="1:6">
      <c r="A26" s="15"/>
      <c r="B26" s="16"/>
      <c r="C26" s="37"/>
      <c r="D26" s="24"/>
      <c r="E26" s="26"/>
      <c r="F26" s="15"/>
    </row>
    <row r="27" spans="1:6">
      <c r="A27" s="15"/>
      <c r="B27" s="16"/>
      <c r="C27" s="37"/>
      <c r="D27" s="24"/>
      <c r="E27" s="26"/>
      <c r="F27" s="15"/>
    </row>
  </sheetData>
  <sortState xmlns:xlrd2="http://schemas.microsoft.com/office/spreadsheetml/2017/richdata2" ref="A2:F21">
    <sortCondition ref="A2:A21"/>
    <sortCondition descending="1" ref="B2:B21"/>
    <sortCondition ref="F2:F2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workbookViewId="0"/>
  </sheetViews>
  <sheetFormatPr defaultRowHeight="15"/>
  <cols>
    <col min="1" max="1" width="7.7109375" bestFit="1" customWidth="1"/>
    <col min="2" max="2" width="5" style="7" bestFit="1" customWidth="1"/>
    <col min="3" max="3" width="20.85546875" style="7" bestFit="1" customWidth="1"/>
    <col min="4" max="4" width="21" style="7" bestFit="1" customWidth="1"/>
    <col min="5" max="5" width="21.140625" style="7" bestFit="1" customWidth="1"/>
    <col min="6" max="6" width="45.7109375" style="7" bestFit="1" customWidth="1"/>
    <col min="7" max="7" width="14.28515625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>
      <c r="A2" s="13" t="s">
        <v>99</v>
      </c>
      <c r="B2" s="14">
        <v>2018</v>
      </c>
      <c r="C2" s="25">
        <v>52500</v>
      </c>
      <c r="D2" s="25"/>
      <c r="E2" s="25"/>
      <c r="F2" s="39" t="s">
        <v>241</v>
      </c>
    </row>
    <row r="3" spans="1:6">
      <c r="A3" s="15" t="s">
        <v>99</v>
      </c>
      <c r="B3" s="16">
        <v>2018</v>
      </c>
      <c r="C3" s="26">
        <v>58000</v>
      </c>
      <c r="D3" s="26"/>
      <c r="E3" s="26"/>
      <c r="F3" s="40" t="s">
        <v>243</v>
      </c>
    </row>
    <row r="4" spans="1:6">
      <c r="A4" s="15" t="s">
        <v>99</v>
      </c>
      <c r="B4" s="16">
        <v>2017</v>
      </c>
      <c r="C4" s="26">
        <v>46900</v>
      </c>
      <c r="D4" s="26"/>
      <c r="E4" s="26"/>
      <c r="F4" s="40" t="s">
        <v>242</v>
      </c>
    </row>
    <row r="5" spans="1:6">
      <c r="A5" s="15" t="s">
        <v>99</v>
      </c>
      <c r="B5" s="16">
        <v>2017</v>
      </c>
      <c r="C5" s="26">
        <v>52900</v>
      </c>
      <c r="D5" s="26"/>
      <c r="E5" s="26"/>
      <c r="F5" s="40" t="s">
        <v>226</v>
      </c>
    </row>
    <row r="6" spans="1:6">
      <c r="A6" s="15" t="s">
        <v>99</v>
      </c>
      <c r="B6" s="16">
        <v>2017</v>
      </c>
      <c r="C6" s="26">
        <v>35000</v>
      </c>
      <c r="D6" s="26"/>
      <c r="E6" s="26"/>
      <c r="F6" s="40" t="s">
        <v>138</v>
      </c>
    </row>
    <row r="7" spans="1:6">
      <c r="A7" s="15" t="s">
        <v>99</v>
      </c>
      <c r="B7" s="16">
        <v>2016</v>
      </c>
      <c r="C7" s="26">
        <v>42000</v>
      </c>
      <c r="D7" s="26"/>
      <c r="E7" s="26"/>
      <c r="F7" s="40" t="s">
        <v>141</v>
      </c>
    </row>
    <row r="8" spans="1:6">
      <c r="A8" s="15" t="s">
        <v>99</v>
      </c>
      <c r="B8" s="16">
        <v>2016</v>
      </c>
      <c r="C8" s="26">
        <v>48825</v>
      </c>
      <c r="D8" s="26"/>
      <c r="E8" s="26"/>
      <c r="F8" s="40" t="s">
        <v>136</v>
      </c>
    </row>
    <row r="9" spans="1:6">
      <c r="A9" s="15" t="s">
        <v>99</v>
      </c>
      <c r="B9" s="16">
        <v>2016</v>
      </c>
      <c r="C9" s="26">
        <v>48000</v>
      </c>
      <c r="D9" s="26"/>
      <c r="E9" s="26"/>
      <c r="F9" s="40" t="s">
        <v>142</v>
      </c>
    </row>
    <row r="10" spans="1:6">
      <c r="A10" s="15" t="s">
        <v>99</v>
      </c>
      <c r="B10" s="16">
        <v>2016</v>
      </c>
      <c r="C10" s="26">
        <v>55660</v>
      </c>
      <c r="D10" s="26"/>
      <c r="E10" s="26"/>
      <c r="F10" s="40" t="s">
        <v>137</v>
      </c>
    </row>
    <row r="11" spans="1:6" ht="13.9" customHeight="1">
      <c r="A11" s="15" t="s">
        <v>99</v>
      </c>
      <c r="B11" s="16">
        <v>2016</v>
      </c>
      <c r="C11" s="26">
        <v>34000</v>
      </c>
      <c r="D11" s="26"/>
      <c r="E11" s="26"/>
      <c r="F11" s="40" t="s">
        <v>138</v>
      </c>
    </row>
    <row r="12" spans="1:6" ht="15" customHeight="1">
      <c r="A12" s="15" t="s">
        <v>99</v>
      </c>
      <c r="B12" s="16">
        <v>2013</v>
      </c>
      <c r="C12" s="26">
        <v>40500</v>
      </c>
      <c r="D12" s="26"/>
      <c r="E12" s="26"/>
      <c r="F12" s="40"/>
    </row>
    <row r="13" spans="1:6">
      <c r="A13" s="15" t="s">
        <v>99</v>
      </c>
      <c r="B13" s="16">
        <v>2013</v>
      </c>
      <c r="C13" s="26">
        <v>45325</v>
      </c>
      <c r="D13" s="26"/>
      <c r="E13" s="26"/>
      <c r="F13" s="40"/>
    </row>
    <row r="14" spans="1:6">
      <c r="A14" s="15" t="s">
        <v>99</v>
      </c>
      <c r="B14" s="16">
        <v>2012</v>
      </c>
      <c r="C14" s="26">
        <v>39150</v>
      </c>
      <c r="D14" s="26">
        <v>37068.75</v>
      </c>
      <c r="E14" s="26">
        <v>32950</v>
      </c>
      <c r="F14" s="40" t="s">
        <v>40</v>
      </c>
    </row>
    <row r="15" spans="1:6">
      <c r="A15" s="15" t="s">
        <v>99</v>
      </c>
      <c r="B15" s="16">
        <v>2012</v>
      </c>
      <c r="C15" s="26">
        <v>43481.25</v>
      </c>
      <c r="D15" s="26">
        <v>40668.75</v>
      </c>
      <c r="E15" s="26">
        <v>36150</v>
      </c>
      <c r="F15" s="40" t="s">
        <v>41</v>
      </c>
    </row>
    <row r="16" spans="1:6" ht="13.9" customHeight="1">
      <c r="A16" s="15" t="s">
        <v>99</v>
      </c>
      <c r="B16" s="16">
        <v>2012</v>
      </c>
      <c r="C16" s="26">
        <v>47418.75</v>
      </c>
      <c r="D16" s="26">
        <v>44325</v>
      </c>
      <c r="E16" s="26">
        <v>39400</v>
      </c>
      <c r="F16" s="40" t="s">
        <v>43</v>
      </c>
    </row>
    <row r="17" spans="1:6" ht="15" customHeight="1">
      <c r="A17" s="15" t="s">
        <v>99</v>
      </c>
      <c r="B17" s="16">
        <v>2012</v>
      </c>
      <c r="C17" s="26">
        <v>50371</v>
      </c>
      <c r="D17" s="26">
        <v>47193.75</v>
      </c>
      <c r="E17" s="26">
        <v>41950</v>
      </c>
      <c r="F17" s="40" t="s">
        <v>44</v>
      </c>
    </row>
    <row r="18" spans="1:6">
      <c r="A18" s="15" t="s">
        <v>99</v>
      </c>
      <c r="B18" s="16">
        <v>2012</v>
      </c>
      <c r="C18" s="26">
        <v>46125</v>
      </c>
      <c r="D18" s="26">
        <v>42750</v>
      </c>
      <c r="E18" s="26">
        <v>38000</v>
      </c>
      <c r="F18" s="40" t="s">
        <v>42</v>
      </c>
    </row>
    <row r="19" spans="1:6">
      <c r="A19" s="15" t="s">
        <v>99</v>
      </c>
      <c r="B19" s="16">
        <v>2012</v>
      </c>
      <c r="C19" s="26">
        <v>53988.75</v>
      </c>
      <c r="D19" s="26">
        <v>50062.5</v>
      </c>
      <c r="E19" s="26">
        <v>44500</v>
      </c>
      <c r="F19" s="40" t="s">
        <v>42</v>
      </c>
    </row>
    <row r="20" spans="1:6">
      <c r="A20" s="15"/>
      <c r="B20" s="16"/>
      <c r="C20" s="26"/>
      <c r="D20" s="26"/>
      <c r="E20" s="26"/>
      <c r="F20" s="40"/>
    </row>
    <row r="21" spans="1:6">
      <c r="A21" s="15"/>
      <c r="B21" s="16"/>
      <c r="C21" s="26"/>
      <c r="D21" s="26"/>
      <c r="E21" s="26"/>
      <c r="F21" s="40"/>
    </row>
    <row r="22" spans="1:6">
      <c r="A22" s="15"/>
      <c r="B22" s="16"/>
      <c r="C22" s="26"/>
      <c r="D22" s="26"/>
      <c r="E22" s="26"/>
      <c r="F22" s="40"/>
    </row>
    <row r="23" spans="1:6">
      <c r="A23" s="15"/>
      <c r="B23" s="16"/>
      <c r="C23" s="26"/>
      <c r="D23" s="26"/>
      <c r="E23" s="26"/>
      <c r="F23" s="40"/>
    </row>
    <row r="24" spans="1:6">
      <c r="A24" s="15"/>
      <c r="B24" s="16"/>
      <c r="C24" s="26"/>
      <c r="D24" s="26"/>
      <c r="E24" s="26"/>
      <c r="F24" s="40"/>
    </row>
    <row r="25" spans="1:6">
      <c r="A25" s="15"/>
      <c r="B25" s="16"/>
      <c r="C25" s="26"/>
      <c r="D25" s="26"/>
      <c r="E25" s="26"/>
      <c r="F25" s="40"/>
    </row>
    <row r="26" spans="1:6">
      <c r="A26" s="15"/>
      <c r="B26" s="16"/>
      <c r="C26" s="26"/>
      <c r="D26" s="26"/>
      <c r="E26" s="26"/>
      <c r="F26" s="40"/>
    </row>
    <row r="27" spans="1:6">
      <c r="A27" s="15"/>
      <c r="B27" s="16"/>
      <c r="C27" s="26"/>
      <c r="D27" s="26"/>
      <c r="E27" s="26"/>
      <c r="F27" s="40"/>
    </row>
  </sheetData>
  <sortState xmlns:xlrd2="http://schemas.microsoft.com/office/spreadsheetml/2017/richdata2" ref="A2:F20">
    <sortCondition ref="A2:A20"/>
    <sortCondition descending="1" ref="B2:B20"/>
    <sortCondition ref="F2:F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workbookViewId="0"/>
  </sheetViews>
  <sheetFormatPr defaultRowHeight="15"/>
  <cols>
    <col min="1" max="1" width="6.42578125" bestFit="1" customWidth="1"/>
    <col min="2" max="2" width="5" bestFit="1" customWidth="1"/>
    <col min="3" max="3" width="20" bestFit="1" customWidth="1"/>
    <col min="4" max="4" width="19.85546875" bestFit="1" customWidth="1"/>
    <col min="5" max="5" width="19.7109375" bestFit="1" customWidth="1"/>
    <col min="6" max="6" width="15.28515625" bestFit="1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 ht="15.75" thickBot="1">
      <c r="A2" s="13" t="s">
        <v>232</v>
      </c>
      <c r="B2" s="14">
        <v>2017</v>
      </c>
      <c r="C2" s="23">
        <v>74500</v>
      </c>
      <c r="D2" s="23"/>
      <c r="E2" s="23"/>
      <c r="F2" s="13"/>
    </row>
    <row r="3" spans="1:6" ht="15.75" thickBot="1">
      <c r="A3" s="15" t="s">
        <v>233</v>
      </c>
      <c r="B3" s="14">
        <v>2017</v>
      </c>
      <c r="C3" s="23">
        <v>79500</v>
      </c>
      <c r="D3" s="24"/>
      <c r="E3" s="24"/>
      <c r="F3" s="15"/>
    </row>
    <row r="4" spans="1:6">
      <c r="A4" s="15" t="s">
        <v>234</v>
      </c>
      <c r="B4" s="14">
        <v>2017</v>
      </c>
      <c r="C4" s="23">
        <v>133875</v>
      </c>
      <c r="D4" s="24"/>
      <c r="E4" s="24"/>
      <c r="F4" s="15"/>
    </row>
    <row r="5" spans="1:6">
      <c r="A5" s="15"/>
      <c r="B5" s="16"/>
      <c r="C5" s="24"/>
      <c r="D5" s="24"/>
      <c r="E5" s="24"/>
      <c r="F5" s="15"/>
    </row>
    <row r="6" spans="1:6">
      <c r="A6" s="15"/>
      <c r="B6" s="16"/>
      <c r="C6" s="24"/>
      <c r="D6" s="24"/>
      <c r="E6" s="24"/>
      <c r="F6" s="15"/>
    </row>
    <row r="7" spans="1:6">
      <c r="A7" s="15"/>
      <c r="B7" s="16"/>
      <c r="C7" s="24"/>
      <c r="D7" s="24"/>
      <c r="E7" s="24"/>
      <c r="F7" s="15"/>
    </row>
    <row r="8" spans="1:6">
      <c r="A8" s="15"/>
      <c r="B8" s="16"/>
      <c r="C8" s="24"/>
      <c r="D8" s="24"/>
      <c r="E8" s="24"/>
      <c r="F8" s="15"/>
    </row>
    <row r="9" spans="1:6">
      <c r="A9" s="15"/>
      <c r="B9" s="16"/>
      <c r="C9" s="24"/>
      <c r="D9" s="24"/>
      <c r="E9" s="24"/>
      <c r="F9" s="15"/>
    </row>
    <row r="10" spans="1:6">
      <c r="A10" s="15"/>
      <c r="B10" s="16"/>
      <c r="C10" s="24"/>
      <c r="D10" s="24"/>
      <c r="E10" s="24"/>
      <c r="F10" s="15"/>
    </row>
    <row r="11" spans="1:6">
      <c r="A11" s="15"/>
      <c r="B11" s="16"/>
      <c r="C11" s="24"/>
      <c r="D11" s="24"/>
      <c r="E11" s="24"/>
      <c r="F11" s="15"/>
    </row>
    <row r="12" spans="1:6">
      <c r="A12" s="15"/>
      <c r="B12" s="16"/>
      <c r="C12" s="24"/>
      <c r="D12" s="24"/>
      <c r="E12" s="24"/>
      <c r="F12" s="15"/>
    </row>
    <row r="13" spans="1:6">
      <c r="A13" s="15"/>
      <c r="B13" s="16"/>
      <c r="C13" s="24"/>
      <c r="D13" s="24"/>
      <c r="E13" s="24"/>
      <c r="F13" s="15"/>
    </row>
    <row r="14" spans="1:6">
      <c r="A14" s="15"/>
      <c r="B14" s="16"/>
      <c r="C14" s="24"/>
      <c r="D14" s="24"/>
      <c r="E14" s="24"/>
      <c r="F14" s="15"/>
    </row>
    <row r="15" spans="1:6">
      <c r="A15" s="15"/>
      <c r="B15" s="16"/>
      <c r="C15" s="24"/>
      <c r="D15" s="24"/>
      <c r="E15" s="24"/>
      <c r="F15" s="15"/>
    </row>
    <row r="16" spans="1:6">
      <c r="A16" s="15"/>
      <c r="B16" s="16"/>
      <c r="C16" s="24"/>
      <c r="D16" s="24"/>
      <c r="E16" s="24"/>
      <c r="F16" s="15"/>
    </row>
    <row r="17" spans="1:6">
      <c r="A17" s="15"/>
      <c r="B17" s="16"/>
      <c r="C17" s="24"/>
      <c r="D17" s="24"/>
      <c r="E17" s="24"/>
      <c r="F17" s="15"/>
    </row>
    <row r="18" spans="1:6">
      <c r="A18" s="15"/>
      <c r="B18" s="16"/>
      <c r="C18" s="24"/>
      <c r="D18" s="24"/>
      <c r="E18" s="24"/>
      <c r="F18" s="15"/>
    </row>
    <row r="19" spans="1:6">
      <c r="A19" s="15"/>
      <c r="B19" s="16"/>
      <c r="C19" s="24"/>
      <c r="D19" s="24"/>
      <c r="E19" s="24"/>
      <c r="F19" s="15"/>
    </row>
    <row r="20" spans="1:6">
      <c r="A20" s="15"/>
      <c r="B20" s="16"/>
      <c r="C20" s="24"/>
      <c r="D20" s="24"/>
      <c r="E20" s="24"/>
      <c r="F20" s="15"/>
    </row>
    <row r="21" spans="1:6">
      <c r="A21" s="15"/>
      <c r="B21" s="16"/>
      <c r="C21" s="24"/>
      <c r="D21" s="24"/>
      <c r="E21" s="24"/>
      <c r="F21" s="15"/>
    </row>
    <row r="22" spans="1:6">
      <c r="A22" s="15"/>
      <c r="B22" s="16"/>
      <c r="C22" s="24"/>
      <c r="D22" s="24"/>
      <c r="E22" s="24"/>
      <c r="F22" s="15"/>
    </row>
    <row r="23" spans="1:6">
      <c r="A23" s="15"/>
      <c r="B23" s="16"/>
      <c r="C23" s="24"/>
      <c r="D23" s="24"/>
      <c r="E23" s="24"/>
      <c r="F23" s="15"/>
    </row>
    <row r="24" spans="1:6">
      <c r="A24" s="15"/>
      <c r="B24" s="16"/>
      <c r="C24" s="24"/>
      <c r="D24" s="24"/>
      <c r="E24" s="24"/>
      <c r="F24" s="15"/>
    </row>
    <row r="25" spans="1:6">
      <c r="A25" s="15"/>
      <c r="B25" s="16"/>
      <c r="C25" s="24"/>
      <c r="D25" s="24"/>
      <c r="E25" s="24"/>
      <c r="F25" s="15"/>
    </row>
    <row r="26" spans="1:6">
      <c r="A26" s="15"/>
      <c r="B26" s="16"/>
      <c r="C26" s="24"/>
      <c r="D26" s="24"/>
      <c r="E26" s="24"/>
      <c r="F26" s="15"/>
    </row>
    <row r="27" spans="1:6">
      <c r="A27" s="15"/>
      <c r="B27" s="16"/>
      <c r="C27" s="24"/>
      <c r="D27" s="24"/>
      <c r="E27" s="24"/>
      <c r="F27" s="1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"/>
  <sheetViews>
    <sheetView workbookViewId="0"/>
  </sheetViews>
  <sheetFormatPr defaultRowHeight="15"/>
  <cols>
    <col min="1" max="1" width="8.28515625" style="1" bestFit="1" customWidth="1"/>
    <col min="2" max="2" width="5" style="4" bestFit="1" customWidth="1"/>
    <col min="3" max="3" width="20.85546875" style="2" bestFit="1" customWidth="1"/>
    <col min="4" max="4" width="21" style="2" bestFit="1" customWidth="1"/>
    <col min="5" max="5" width="21.140625" style="1" bestFit="1" customWidth="1"/>
    <col min="6" max="6" width="86.28515625" bestFit="1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 ht="15.75" thickBot="1">
      <c r="A2" s="13" t="s">
        <v>114</v>
      </c>
      <c r="B2" s="14">
        <v>2017</v>
      </c>
      <c r="C2" s="21">
        <v>95000</v>
      </c>
      <c r="D2" s="13"/>
      <c r="E2" s="99"/>
      <c r="F2" s="13" t="s">
        <v>227</v>
      </c>
    </row>
    <row r="3" spans="1:6" ht="15.75" thickBot="1">
      <c r="A3" s="38" t="s">
        <v>114</v>
      </c>
      <c r="B3" s="44">
        <v>2017</v>
      </c>
      <c r="C3" s="21">
        <v>102500</v>
      </c>
      <c r="D3" s="38"/>
      <c r="E3" s="99"/>
      <c r="F3" s="38" t="s">
        <v>228</v>
      </c>
    </row>
    <row r="4" spans="1:6">
      <c r="A4" s="38" t="s">
        <v>114</v>
      </c>
      <c r="B4" s="44">
        <v>2017</v>
      </c>
      <c r="C4" s="21">
        <v>110000</v>
      </c>
      <c r="D4" s="38"/>
      <c r="E4" s="13"/>
      <c r="F4" s="38" t="s">
        <v>229</v>
      </c>
    </row>
    <row r="5" spans="1:6">
      <c r="A5" s="43" t="s">
        <v>114</v>
      </c>
      <c r="B5" s="16">
        <v>2017</v>
      </c>
      <c r="C5" s="19">
        <v>87000</v>
      </c>
      <c r="D5" s="15"/>
      <c r="E5" s="41"/>
      <c r="F5" s="38" t="s">
        <v>231</v>
      </c>
    </row>
    <row r="6" spans="1:6">
      <c r="A6" s="38" t="s">
        <v>114</v>
      </c>
      <c r="B6" s="16">
        <v>2017</v>
      </c>
      <c r="C6" s="19">
        <v>79875</v>
      </c>
      <c r="D6" s="15"/>
      <c r="E6" s="41"/>
      <c r="F6" s="38" t="s">
        <v>230</v>
      </c>
    </row>
    <row r="7" spans="1:6">
      <c r="A7" s="40" t="s">
        <v>114</v>
      </c>
      <c r="B7" s="16">
        <v>2016</v>
      </c>
      <c r="C7" s="19">
        <v>102549</v>
      </c>
      <c r="D7" s="15"/>
      <c r="E7" s="41"/>
      <c r="F7" s="15" t="s">
        <v>116</v>
      </c>
    </row>
    <row r="8" spans="1:6">
      <c r="A8" s="40" t="s">
        <v>114</v>
      </c>
      <c r="B8" s="16">
        <v>2013</v>
      </c>
      <c r="C8" s="19">
        <v>91687.5</v>
      </c>
      <c r="D8" s="16"/>
      <c r="E8" s="19">
        <v>74000</v>
      </c>
      <c r="F8" s="15" t="s">
        <v>115</v>
      </c>
    </row>
    <row r="9" spans="1:6">
      <c r="A9" s="40" t="s">
        <v>114</v>
      </c>
      <c r="B9" s="16">
        <v>2013</v>
      </c>
      <c r="C9" s="19">
        <v>73687.5</v>
      </c>
      <c r="D9" s="16"/>
      <c r="E9" s="19">
        <v>59500</v>
      </c>
      <c r="F9" s="15" t="s">
        <v>117</v>
      </c>
    </row>
    <row r="10" spans="1:6">
      <c r="A10" s="40" t="s">
        <v>114</v>
      </c>
      <c r="B10" s="16">
        <v>2013</v>
      </c>
      <c r="C10" s="19">
        <v>86850</v>
      </c>
      <c r="D10" s="16"/>
      <c r="E10" s="19">
        <v>69700</v>
      </c>
      <c r="F10" s="15" t="s">
        <v>116</v>
      </c>
    </row>
    <row r="11" spans="1:6">
      <c r="A11" s="15" t="s">
        <v>326</v>
      </c>
      <c r="B11" s="16">
        <v>2018</v>
      </c>
      <c r="C11" s="19">
        <v>84500</v>
      </c>
      <c r="D11" s="15"/>
      <c r="E11" s="15"/>
      <c r="F11" s="15" t="s">
        <v>407</v>
      </c>
    </row>
    <row r="12" spans="1:6">
      <c r="A12" s="15"/>
      <c r="B12" s="16"/>
      <c r="C12" s="15"/>
      <c r="D12" s="15"/>
      <c r="E12" s="15"/>
      <c r="F12" s="15"/>
    </row>
    <row r="13" spans="1:6">
      <c r="A13" s="15"/>
      <c r="B13" s="16"/>
      <c r="C13" s="15"/>
      <c r="D13" s="15"/>
      <c r="E13" s="15"/>
      <c r="F13" s="15"/>
    </row>
    <row r="14" spans="1:6">
      <c r="A14" s="15"/>
      <c r="B14" s="16"/>
      <c r="C14" s="15"/>
      <c r="D14" s="15"/>
      <c r="E14" s="15"/>
      <c r="F14" s="15"/>
    </row>
    <row r="15" spans="1:6">
      <c r="A15" s="15"/>
      <c r="B15" s="16"/>
      <c r="C15" s="15"/>
      <c r="D15" s="15"/>
      <c r="E15" s="15"/>
      <c r="F15" s="15"/>
    </row>
    <row r="16" spans="1:6">
      <c r="A16" s="15"/>
      <c r="B16" s="16"/>
      <c r="C16" s="15"/>
      <c r="D16" s="15"/>
      <c r="E16" s="15"/>
      <c r="F16" s="15"/>
    </row>
    <row r="17" spans="1:6">
      <c r="A17" s="15"/>
      <c r="B17" s="16"/>
      <c r="C17" s="15"/>
      <c r="D17" s="15"/>
      <c r="E17" s="15"/>
      <c r="F17" s="15"/>
    </row>
    <row r="18" spans="1:6">
      <c r="A18" s="15"/>
      <c r="B18" s="16"/>
      <c r="C18" s="15"/>
      <c r="D18" s="15"/>
      <c r="E18" s="15"/>
      <c r="F18" s="15"/>
    </row>
    <row r="19" spans="1:6">
      <c r="A19" s="15"/>
      <c r="B19" s="16"/>
      <c r="C19" s="15"/>
      <c r="D19" s="15"/>
      <c r="E19" s="15"/>
      <c r="F19" s="15"/>
    </row>
    <row r="20" spans="1:6">
      <c r="A20" s="15"/>
      <c r="B20" s="16"/>
      <c r="C20" s="15"/>
      <c r="D20" s="15"/>
      <c r="E20" s="15"/>
      <c r="F20" s="15"/>
    </row>
    <row r="21" spans="1:6">
      <c r="A21" s="15"/>
      <c r="B21" s="16"/>
      <c r="C21" s="15"/>
      <c r="D21" s="15"/>
      <c r="E21" s="15"/>
      <c r="F21" s="15"/>
    </row>
    <row r="22" spans="1:6">
      <c r="A22" s="15"/>
      <c r="B22" s="16"/>
      <c r="C22" s="15"/>
      <c r="D22" s="15"/>
      <c r="E22" s="15"/>
      <c r="F22" s="15"/>
    </row>
    <row r="23" spans="1:6">
      <c r="A23" s="15"/>
      <c r="B23" s="16"/>
      <c r="C23" s="15"/>
      <c r="D23" s="15"/>
      <c r="E23" s="15"/>
      <c r="F23" s="15"/>
    </row>
    <row r="24" spans="1:6">
      <c r="A24" s="15"/>
      <c r="B24" s="16"/>
      <c r="C24" s="15"/>
      <c r="D24" s="15"/>
      <c r="E24" s="15"/>
      <c r="F24" s="15"/>
    </row>
    <row r="25" spans="1:6">
      <c r="A25" s="15"/>
      <c r="B25" s="16"/>
      <c r="C25" s="15"/>
      <c r="D25" s="15"/>
      <c r="E25" s="15"/>
      <c r="F25" s="15"/>
    </row>
    <row r="26" spans="1:6">
      <c r="A26" s="15"/>
      <c r="B26" s="16"/>
      <c r="C26" s="15"/>
      <c r="D26" s="15"/>
      <c r="E26" s="15"/>
      <c r="F26" s="15"/>
    </row>
    <row r="27" spans="1:6">
      <c r="A27" s="15"/>
      <c r="B27" s="16"/>
      <c r="C27" s="15"/>
      <c r="D27" s="15"/>
      <c r="E27" s="15"/>
      <c r="F27" s="15"/>
    </row>
    <row r="28" spans="1:6">
      <c r="A28" s="15"/>
      <c r="B28" s="16"/>
      <c r="C28" s="15"/>
      <c r="D28" s="15"/>
      <c r="E28" s="15"/>
      <c r="F28" s="15"/>
    </row>
    <row r="29" spans="1:6">
      <c r="A29" s="15"/>
      <c r="B29" s="16"/>
      <c r="C29" s="15"/>
      <c r="D29" s="15"/>
      <c r="E29" s="15"/>
      <c r="F29" s="15"/>
    </row>
    <row r="30" spans="1:6">
      <c r="A30" s="15"/>
      <c r="B30" s="16"/>
      <c r="C30" s="15"/>
      <c r="D30" s="15"/>
      <c r="E30" s="15"/>
      <c r="F30" s="15"/>
    </row>
    <row r="31" spans="1:6">
      <c r="A31" s="15"/>
      <c r="B31" s="16"/>
      <c r="C31" s="15"/>
      <c r="D31" s="15"/>
      <c r="E31" s="15"/>
      <c r="F31" s="15"/>
    </row>
    <row r="32" spans="1:6">
      <c r="A32" s="15"/>
      <c r="B32" s="16"/>
      <c r="C32" s="15"/>
      <c r="D32" s="15"/>
      <c r="E32" s="15"/>
      <c r="F32" s="15"/>
    </row>
  </sheetData>
  <sortState xmlns:xlrd2="http://schemas.microsoft.com/office/spreadsheetml/2017/richdata2" ref="A2:F10">
    <sortCondition ref="A2:A10"/>
    <sortCondition descending="1" ref="B2:B10"/>
    <sortCondition ref="F2:F1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5"/>
  <sheetViews>
    <sheetView workbookViewId="0"/>
  </sheetViews>
  <sheetFormatPr defaultRowHeight="15"/>
  <cols>
    <col min="1" max="1" width="10.28515625" style="1" customWidth="1"/>
    <col min="2" max="2" width="5" style="4" bestFit="1" customWidth="1"/>
    <col min="3" max="3" width="20.85546875" style="2" bestFit="1" customWidth="1"/>
    <col min="4" max="4" width="21" style="2" bestFit="1" customWidth="1"/>
    <col min="5" max="5" width="21.140625" style="1" bestFit="1" customWidth="1"/>
    <col min="6" max="6" width="60.7109375" bestFit="1" customWidth="1"/>
  </cols>
  <sheetData>
    <row r="1" spans="1:6" s="7" customFormat="1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>
      <c r="A2" s="13" t="s">
        <v>101</v>
      </c>
      <c r="B2" s="14">
        <v>2017</v>
      </c>
      <c r="C2" s="21">
        <v>79000</v>
      </c>
      <c r="D2" s="13"/>
      <c r="E2" s="13"/>
      <c r="F2" s="13" t="s">
        <v>217</v>
      </c>
    </row>
    <row r="3" spans="1:6">
      <c r="A3" s="38" t="s">
        <v>101</v>
      </c>
      <c r="B3" s="44">
        <v>2017</v>
      </c>
      <c r="C3" s="19">
        <v>81000</v>
      </c>
      <c r="D3" s="38"/>
      <c r="E3" s="38"/>
      <c r="F3" s="38" t="s">
        <v>219</v>
      </c>
    </row>
    <row r="4" spans="1:6">
      <c r="A4" s="38" t="s">
        <v>101</v>
      </c>
      <c r="B4" s="44">
        <v>2017</v>
      </c>
      <c r="C4" s="19">
        <v>78000</v>
      </c>
      <c r="D4" s="100"/>
      <c r="E4" s="15"/>
      <c r="F4" s="38" t="s">
        <v>218</v>
      </c>
    </row>
    <row r="5" spans="1:6">
      <c r="A5" s="15" t="s">
        <v>101</v>
      </c>
      <c r="B5" s="16">
        <v>2017</v>
      </c>
      <c r="C5" s="47">
        <v>88000</v>
      </c>
      <c r="D5" s="15"/>
      <c r="E5" s="15"/>
      <c r="F5" s="15" t="s">
        <v>223</v>
      </c>
    </row>
    <row r="6" spans="1:6">
      <c r="A6" s="15" t="s">
        <v>101</v>
      </c>
      <c r="B6" s="16">
        <v>2017</v>
      </c>
      <c r="C6" s="19">
        <v>84000</v>
      </c>
      <c r="D6" s="15"/>
      <c r="E6" s="15"/>
      <c r="F6" s="15" t="s">
        <v>222</v>
      </c>
    </row>
    <row r="7" spans="1:6">
      <c r="A7" s="15" t="s">
        <v>101</v>
      </c>
      <c r="B7" s="16">
        <v>2017</v>
      </c>
      <c r="C7" s="24">
        <v>98000</v>
      </c>
      <c r="D7" s="15"/>
      <c r="E7" s="15"/>
      <c r="F7" s="15" t="s">
        <v>225</v>
      </c>
    </row>
    <row r="8" spans="1:6">
      <c r="A8" s="15" t="s">
        <v>101</v>
      </c>
      <c r="B8" s="16">
        <v>2017</v>
      </c>
      <c r="C8" s="24">
        <v>95000</v>
      </c>
      <c r="D8" s="15"/>
      <c r="E8" s="15"/>
      <c r="F8" s="15" t="s">
        <v>224</v>
      </c>
    </row>
    <row r="9" spans="1:6">
      <c r="A9" s="15" t="s">
        <v>101</v>
      </c>
      <c r="B9" s="16">
        <v>2017</v>
      </c>
      <c r="C9" s="19">
        <v>88000</v>
      </c>
      <c r="D9" s="15"/>
      <c r="E9" s="15"/>
      <c r="F9" s="15" t="s">
        <v>221</v>
      </c>
    </row>
    <row r="10" spans="1:6">
      <c r="A10" s="15" t="s">
        <v>101</v>
      </c>
      <c r="B10" s="16">
        <v>2017</v>
      </c>
      <c r="C10" s="19">
        <v>82000</v>
      </c>
      <c r="D10" s="15"/>
      <c r="E10" s="15"/>
      <c r="F10" s="15" t="s">
        <v>220</v>
      </c>
    </row>
    <row r="11" spans="1:6" hidden="1">
      <c r="A11" s="15" t="s">
        <v>101</v>
      </c>
      <c r="B11" s="16">
        <v>2016</v>
      </c>
      <c r="C11" s="24">
        <v>64800</v>
      </c>
      <c r="D11" s="15"/>
      <c r="E11" s="15"/>
      <c r="F11" s="15" t="s">
        <v>176</v>
      </c>
    </row>
    <row r="12" spans="1:6" hidden="1">
      <c r="A12" s="15" t="s">
        <v>101</v>
      </c>
      <c r="B12" s="16">
        <v>2016</v>
      </c>
      <c r="C12" s="19">
        <v>77000</v>
      </c>
      <c r="D12" s="15"/>
      <c r="E12" s="15"/>
      <c r="F12" s="15" t="s">
        <v>144</v>
      </c>
    </row>
    <row r="13" spans="1:6" hidden="1">
      <c r="A13" s="15" t="s">
        <v>101</v>
      </c>
      <c r="B13" s="16">
        <v>2016</v>
      </c>
      <c r="C13" s="19">
        <v>78000</v>
      </c>
      <c r="D13" s="15"/>
      <c r="E13" s="15"/>
      <c r="F13" s="15" t="s">
        <v>150</v>
      </c>
    </row>
    <row r="14" spans="1:6" hidden="1">
      <c r="A14" s="15" t="s">
        <v>101</v>
      </c>
      <c r="B14" s="16">
        <v>2016</v>
      </c>
      <c r="C14" s="19">
        <v>85000</v>
      </c>
      <c r="D14" s="15"/>
      <c r="E14" s="15"/>
      <c r="F14" s="15" t="s">
        <v>140</v>
      </c>
    </row>
    <row r="15" spans="1:6" hidden="1">
      <c r="A15" s="15" t="s">
        <v>101</v>
      </c>
      <c r="B15" s="16">
        <v>2016</v>
      </c>
      <c r="C15" s="19">
        <v>75200</v>
      </c>
      <c r="D15" s="19">
        <v>63000</v>
      </c>
      <c r="E15" s="15"/>
      <c r="F15" s="15" t="s">
        <v>143</v>
      </c>
    </row>
    <row r="16" spans="1:6" hidden="1">
      <c r="A16" s="15" t="s">
        <v>101</v>
      </c>
      <c r="B16" s="16">
        <v>2016</v>
      </c>
      <c r="C16" s="19">
        <v>92000</v>
      </c>
      <c r="D16" s="15"/>
      <c r="E16" s="15"/>
      <c r="F16" s="15" t="s">
        <v>146</v>
      </c>
    </row>
    <row r="17" spans="1:6" hidden="1">
      <c r="A17" s="15" t="s">
        <v>101</v>
      </c>
      <c r="B17" s="16">
        <v>2016</v>
      </c>
      <c r="C17" s="19">
        <v>89000</v>
      </c>
      <c r="D17" s="15"/>
      <c r="E17" s="15"/>
      <c r="F17" s="15" t="s">
        <v>145</v>
      </c>
    </row>
    <row r="18" spans="1:6" hidden="1">
      <c r="A18" s="15" t="s">
        <v>101</v>
      </c>
      <c r="B18" s="16">
        <v>2016</v>
      </c>
      <c r="C18" s="24">
        <v>83000</v>
      </c>
      <c r="D18" s="15"/>
      <c r="E18" s="15"/>
      <c r="F18" s="15" t="s">
        <v>156</v>
      </c>
    </row>
    <row r="19" spans="1:6" hidden="1">
      <c r="A19" s="15" t="s">
        <v>101</v>
      </c>
      <c r="B19" s="16">
        <v>2015</v>
      </c>
      <c r="C19" s="19">
        <v>77700</v>
      </c>
      <c r="D19" s="15"/>
      <c r="E19" s="15"/>
      <c r="F19" s="15" t="s">
        <v>130</v>
      </c>
    </row>
    <row r="20" spans="1:6" hidden="1">
      <c r="A20" s="15" t="s">
        <v>101</v>
      </c>
      <c r="B20" s="16">
        <v>2015</v>
      </c>
      <c r="C20" s="19">
        <v>94000</v>
      </c>
      <c r="D20" s="15"/>
      <c r="E20" s="15"/>
      <c r="F20" s="15" t="s">
        <v>108</v>
      </c>
    </row>
    <row r="21" spans="1:6" hidden="1">
      <c r="A21" s="15" t="s">
        <v>101</v>
      </c>
      <c r="B21" s="16">
        <v>2015</v>
      </c>
      <c r="C21" s="19">
        <v>87000</v>
      </c>
      <c r="D21" s="15"/>
      <c r="E21" s="15"/>
      <c r="F21" s="15" t="s">
        <v>129</v>
      </c>
    </row>
    <row r="22" spans="1:6" hidden="1">
      <c r="A22" s="15" t="s">
        <v>101</v>
      </c>
      <c r="B22" s="16">
        <v>2013</v>
      </c>
      <c r="C22" s="19">
        <v>89000</v>
      </c>
      <c r="D22" s="15"/>
      <c r="F22" s="15" t="s">
        <v>108</v>
      </c>
    </row>
    <row r="23" spans="1:6" hidden="1">
      <c r="A23" s="15" t="s">
        <v>101</v>
      </c>
      <c r="B23" s="16">
        <v>2013</v>
      </c>
      <c r="C23" s="19">
        <v>85000</v>
      </c>
      <c r="D23" s="15"/>
      <c r="E23" s="15"/>
      <c r="F23" s="15" t="s">
        <v>107</v>
      </c>
    </row>
    <row r="24" spans="1:6" hidden="1">
      <c r="A24" s="15" t="s">
        <v>101</v>
      </c>
      <c r="B24" s="16">
        <v>2013</v>
      </c>
      <c r="C24" s="19">
        <v>70000</v>
      </c>
      <c r="D24" s="15"/>
      <c r="E24" s="41">
        <v>58000</v>
      </c>
      <c r="F24" s="15" t="s">
        <v>106</v>
      </c>
    </row>
    <row r="25" spans="1:6" hidden="1">
      <c r="A25" s="15" t="s">
        <v>101</v>
      </c>
      <c r="B25" s="16">
        <v>2013</v>
      </c>
      <c r="C25" s="19">
        <v>85000</v>
      </c>
      <c r="D25" s="15"/>
      <c r="E25" s="41"/>
      <c r="F25" s="15" t="s">
        <v>110</v>
      </c>
    </row>
    <row r="26" spans="1:6" hidden="1">
      <c r="A26" s="15" t="s">
        <v>101</v>
      </c>
      <c r="B26" s="16">
        <v>2013</v>
      </c>
      <c r="C26" s="19">
        <v>82000</v>
      </c>
      <c r="D26" s="15"/>
      <c r="E26" s="41"/>
      <c r="F26" s="15" t="s">
        <v>109</v>
      </c>
    </row>
    <row r="27" spans="1:6" hidden="1">
      <c r="A27" s="15" t="s">
        <v>101</v>
      </c>
      <c r="B27" s="16">
        <v>2012</v>
      </c>
      <c r="C27" s="19">
        <v>76700</v>
      </c>
      <c r="D27" s="15"/>
      <c r="E27" s="41">
        <v>55545.69</v>
      </c>
      <c r="F27" s="15" t="s">
        <v>45</v>
      </c>
    </row>
    <row r="28" spans="1:6" hidden="1">
      <c r="A28" s="40" t="s">
        <v>101</v>
      </c>
      <c r="B28" s="16">
        <v>2012</v>
      </c>
      <c r="C28" s="19">
        <v>47500</v>
      </c>
      <c r="D28" s="16"/>
      <c r="E28" s="15"/>
      <c r="F28" s="15"/>
    </row>
    <row r="29" spans="1:6" hidden="1">
      <c r="A29" s="40" t="s">
        <v>101</v>
      </c>
      <c r="B29" s="16">
        <v>2012</v>
      </c>
      <c r="C29" s="19"/>
      <c r="D29" s="16"/>
      <c r="E29" s="41">
        <v>38600</v>
      </c>
      <c r="F29" s="15"/>
    </row>
    <row r="30" spans="1:6">
      <c r="A30" s="15" t="s">
        <v>404</v>
      </c>
      <c r="B30" s="16">
        <v>2017</v>
      </c>
      <c r="C30" s="24">
        <v>114000</v>
      </c>
      <c r="D30" s="15"/>
      <c r="E30" s="15"/>
      <c r="F30" s="49" t="s">
        <v>36</v>
      </c>
    </row>
    <row r="31" spans="1:6">
      <c r="A31" s="15" t="s">
        <v>404</v>
      </c>
      <c r="B31" s="16">
        <v>2017</v>
      </c>
      <c r="C31" s="24">
        <v>124000</v>
      </c>
      <c r="D31" s="15"/>
      <c r="E31" s="15"/>
      <c r="F31" s="49" t="s">
        <v>29</v>
      </c>
    </row>
    <row r="32" spans="1:6" hidden="1">
      <c r="A32" s="15" t="s">
        <v>215</v>
      </c>
      <c r="B32" s="16">
        <v>2016</v>
      </c>
      <c r="C32" s="24">
        <v>127000</v>
      </c>
      <c r="D32" s="15"/>
      <c r="F32" s="15"/>
    </row>
    <row r="33" spans="1:6">
      <c r="A33" s="15" t="s">
        <v>147</v>
      </c>
      <c r="B33" s="16">
        <v>2016</v>
      </c>
      <c r="C33" s="19">
        <v>98000</v>
      </c>
      <c r="D33" s="15"/>
      <c r="E33" s="15"/>
      <c r="F33" s="15" t="s">
        <v>148</v>
      </c>
    </row>
    <row r="34" spans="1:6">
      <c r="A34" s="15" t="s">
        <v>147</v>
      </c>
      <c r="B34" s="16">
        <v>2016</v>
      </c>
      <c r="C34" s="19">
        <v>100000</v>
      </c>
      <c r="D34" s="15"/>
      <c r="E34" s="15"/>
      <c r="F34" s="15" t="s">
        <v>149</v>
      </c>
    </row>
    <row r="35" spans="1:6">
      <c r="A35" s="40" t="s">
        <v>100</v>
      </c>
      <c r="B35" s="16">
        <v>2009</v>
      </c>
      <c r="C35" s="19">
        <v>62000</v>
      </c>
      <c r="D35" s="16"/>
      <c r="E35" s="15"/>
      <c r="F35" s="15"/>
    </row>
    <row r="36" spans="1:6">
      <c r="A36" s="15" t="s">
        <v>208</v>
      </c>
      <c r="B36" s="16">
        <v>2017</v>
      </c>
      <c r="C36" s="24">
        <v>64000</v>
      </c>
      <c r="D36" s="15"/>
      <c r="E36" s="15"/>
      <c r="F36" s="15" t="s">
        <v>209</v>
      </c>
    </row>
    <row r="37" spans="1:6">
      <c r="A37" s="15"/>
      <c r="B37" s="16"/>
      <c r="C37" s="15"/>
      <c r="D37" s="15"/>
      <c r="E37" s="15"/>
      <c r="F37" s="15"/>
    </row>
    <row r="38" spans="1:6">
      <c r="A38" s="15"/>
      <c r="B38" s="16"/>
      <c r="C38" s="15"/>
      <c r="D38" s="15"/>
      <c r="E38" s="15"/>
      <c r="F38" s="15"/>
    </row>
    <row r="39" spans="1:6">
      <c r="A39" s="15"/>
      <c r="B39" s="16"/>
      <c r="C39" s="15"/>
      <c r="D39" s="15"/>
      <c r="E39" s="15"/>
      <c r="F39" s="15"/>
    </row>
    <row r="40" spans="1:6">
      <c r="A40" s="15"/>
      <c r="B40" s="16"/>
      <c r="C40" s="15"/>
      <c r="D40" s="15"/>
      <c r="E40" s="15"/>
      <c r="F40" s="15"/>
    </row>
    <row r="41" spans="1:6">
      <c r="A41" s="15"/>
      <c r="B41" s="16"/>
      <c r="C41" s="15"/>
      <c r="D41" s="15"/>
      <c r="E41" s="15"/>
      <c r="F41" s="15"/>
    </row>
    <row r="42" spans="1:6">
      <c r="A42" s="15"/>
      <c r="B42" s="16"/>
      <c r="C42" s="15"/>
      <c r="D42" s="15"/>
      <c r="E42" s="15"/>
      <c r="F42" s="15"/>
    </row>
    <row r="43" spans="1:6">
      <c r="A43" s="15"/>
      <c r="B43" s="16"/>
      <c r="C43" s="15"/>
      <c r="D43" s="15"/>
      <c r="E43" s="15"/>
      <c r="F43" s="15"/>
    </row>
    <row r="44" spans="1:6">
      <c r="A44" s="15"/>
      <c r="B44" s="16"/>
      <c r="C44" s="15"/>
      <c r="D44" s="15"/>
      <c r="E44" s="15"/>
      <c r="F44" s="15"/>
    </row>
    <row r="45" spans="1:6">
      <c r="A45" s="15"/>
      <c r="B45" s="16"/>
      <c r="C45" s="15"/>
      <c r="D45" s="15"/>
      <c r="E45" s="15"/>
      <c r="F45" s="15"/>
    </row>
    <row r="46" spans="1:6">
      <c r="A46" s="15"/>
      <c r="B46" s="16"/>
      <c r="C46" s="15"/>
      <c r="D46" s="15"/>
      <c r="E46" s="15"/>
      <c r="F46" s="15"/>
    </row>
    <row r="47" spans="1:6">
      <c r="A47" s="15"/>
      <c r="B47" s="16"/>
      <c r="C47" s="15"/>
      <c r="D47" s="15"/>
      <c r="E47" s="15"/>
      <c r="F47" s="15"/>
    </row>
    <row r="48" spans="1:6">
      <c r="A48" s="15"/>
      <c r="B48" s="16"/>
      <c r="C48" s="15"/>
      <c r="D48" s="15"/>
      <c r="E48" s="15"/>
      <c r="F48" s="15"/>
    </row>
    <row r="49" spans="1:6">
      <c r="A49" s="15"/>
      <c r="B49" s="16"/>
      <c r="C49" s="15"/>
      <c r="D49" s="15"/>
      <c r="E49" s="15"/>
      <c r="F49" s="15"/>
    </row>
    <row r="50" spans="1:6">
      <c r="A50" s="15"/>
      <c r="B50" s="16"/>
      <c r="C50" s="15"/>
      <c r="D50" s="15"/>
      <c r="E50" s="15"/>
      <c r="F50" s="15"/>
    </row>
    <row r="51" spans="1:6">
      <c r="A51" s="15"/>
      <c r="B51" s="16"/>
      <c r="C51" s="15"/>
      <c r="D51" s="15"/>
      <c r="E51" s="15"/>
      <c r="F51" s="15"/>
    </row>
    <row r="52" spans="1:6">
      <c r="A52" s="15"/>
      <c r="B52" s="16"/>
      <c r="C52" s="15"/>
      <c r="D52" s="15"/>
      <c r="E52" s="15"/>
      <c r="F52" s="15"/>
    </row>
    <row r="53" spans="1:6">
      <c r="A53" s="15"/>
      <c r="B53" s="16"/>
      <c r="C53" s="15"/>
      <c r="D53" s="15"/>
      <c r="E53" s="15"/>
      <c r="F53" s="15"/>
    </row>
    <row r="54" spans="1:6">
      <c r="A54" s="15"/>
      <c r="B54" s="16"/>
      <c r="C54" s="15"/>
      <c r="D54" s="15"/>
      <c r="E54" s="15"/>
      <c r="F54" s="15"/>
    </row>
    <row r="55" spans="1:6">
      <c r="A55" s="15"/>
      <c r="B55" s="16"/>
      <c r="C55" s="15"/>
      <c r="D55" s="15"/>
      <c r="E55" s="15"/>
      <c r="F55" s="15"/>
    </row>
  </sheetData>
  <sortState xmlns:xlrd2="http://schemas.microsoft.com/office/spreadsheetml/2017/richdata2" ref="A2:F36">
    <sortCondition ref="A2:A36"/>
    <sortCondition descending="1" ref="B2:B36"/>
    <sortCondition ref="F2:F36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14" customWidth="1"/>
    <col min="2" max="2" width="5" bestFit="1" customWidth="1"/>
    <col min="3" max="3" width="20.85546875" bestFit="1" customWidth="1"/>
    <col min="4" max="4" width="21" bestFit="1" customWidth="1"/>
    <col min="5" max="5" width="21.140625" bestFit="1" customWidth="1"/>
    <col min="6" max="6" width="39.85546875" bestFit="1" customWidth="1"/>
  </cols>
  <sheetData>
    <row r="1" spans="1:6" s="7" customFormat="1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>
      <c r="A2" s="13" t="s">
        <v>191</v>
      </c>
      <c r="B2" s="14">
        <v>2016</v>
      </c>
      <c r="C2" s="101">
        <v>70000</v>
      </c>
      <c r="D2" s="23"/>
      <c r="E2" s="23"/>
      <c r="F2" s="13" t="s">
        <v>190</v>
      </c>
    </row>
    <row r="3" spans="1:6">
      <c r="A3" s="15" t="s">
        <v>191</v>
      </c>
      <c r="B3" s="16">
        <v>2016</v>
      </c>
      <c r="C3" s="24">
        <v>67000</v>
      </c>
      <c r="D3" s="24"/>
      <c r="E3" s="24"/>
      <c r="F3" s="15" t="s">
        <v>189</v>
      </c>
    </row>
    <row r="4" spans="1:6">
      <c r="A4" s="15" t="s">
        <v>111</v>
      </c>
      <c r="B4" s="16">
        <v>2016</v>
      </c>
      <c r="C4" s="24">
        <v>135000</v>
      </c>
      <c r="D4" s="24"/>
      <c r="E4" s="24"/>
      <c r="F4" s="15" t="s">
        <v>202</v>
      </c>
    </row>
    <row r="5" spans="1:6" hidden="1">
      <c r="A5" s="15" t="s">
        <v>111</v>
      </c>
      <c r="B5" s="16">
        <v>2013</v>
      </c>
      <c r="C5" s="24">
        <v>136000</v>
      </c>
      <c r="D5" s="24"/>
      <c r="E5" s="24"/>
      <c r="F5" s="15" t="s">
        <v>113</v>
      </c>
    </row>
    <row r="6" spans="1:6" hidden="1">
      <c r="A6" s="15" t="s">
        <v>112</v>
      </c>
      <c r="B6" s="16">
        <v>2012</v>
      </c>
      <c r="C6" s="19">
        <v>116261</v>
      </c>
      <c r="D6" s="24"/>
      <c r="E6" s="24"/>
      <c r="F6" s="15" t="s">
        <v>36</v>
      </c>
    </row>
    <row r="7" spans="1:6">
      <c r="A7" s="15" t="s">
        <v>102</v>
      </c>
      <c r="B7" s="16">
        <v>2017</v>
      </c>
      <c r="C7" s="24">
        <v>68000</v>
      </c>
      <c r="D7" s="24"/>
      <c r="E7" s="24"/>
      <c r="F7" s="15" t="s">
        <v>214</v>
      </c>
    </row>
    <row r="8" spans="1:6">
      <c r="A8" s="15" t="s">
        <v>102</v>
      </c>
      <c r="B8" s="16">
        <v>2017</v>
      </c>
      <c r="C8" s="24">
        <v>75000</v>
      </c>
      <c r="D8" s="24"/>
      <c r="E8" s="24"/>
      <c r="F8" s="15" t="s">
        <v>121</v>
      </c>
    </row>
    <row r="9" spans="1:6">
      <c r="A9" s="15" t="s">
        <v>102</v>
      </c>
      <c r="B9" s="46">
        <v>2017</v>
      </c>
      <c r="C9" s="24">
        <v>100000</v>
      </c>
      <c r="D9" s="24"/>
      <c r="E9" s="24"/>
      <c r="F9" s="15" t="s">
        <v>188</v>
      </c>
    </row>
    <row r="10" spans="1:6">
      <c r="A10" s="15" t="s">
        <v>102</v>
      </c>
      <c r="B10" s="46">
        <v>2017</v>
      </c>
      <c r="C10" s="24">
        <v>107000</v>
      </c>
      <c r="D10" s="24"/>
      <c r="E10" s="24"/>
      <c r="F10" s="15" t="s">
        <v>104</v>
      </c>
    </row>
    <row r="11" spans="1:6">
      <c r="A11" s="15" t="s">
        <v>102</v>
      </c>
      <c r="B11" s="16">
        <v>2016</v>
      </c>
      <c r="C11" s="24">
        <v>110000</v>
      </c>
      <c r="D11" s="24"/>
      <c r="E11" s="24"/>
      <c r="F11" s="15" t="s">
        <v>188</v>
      </c>
    </row>
    <row r="12" spans="1:6">
      <c r="A12" s="15" t="s">
        <v>102</v>
      </c>
      <c r="B12" s="16">
        <v>2016</v>
      </c>
      <c r="C12" s="24">
        <v>125000</v>
      </c>
      <c r="D12" s="24"/>
      <c r="E12" s="24"/>
      <c r="F12" s="15" t="s">
        <v>104</v>
      </c>
    </row>
    <row r="13" spans="1:6">
      <c r="A13" s="15" t="s">
        <v>102</v>
      </c>
      <c r="B13" s="16">
        <v>2016</v>
      </c>
      <c r="C13" s="24">
        <v>97000</v>
      </c>
      <c r="D13" s="24"/>
      <c r="E13" s="24"/>
      <c r="F13" s="15" t="s">
        <v>177</v>
      </c>
    </row>
    <row r="14" spans="1:6">
      <c r="A14" s="15" t="s">
        <v>102</v>
      </c>
      <c r="B14" s="16">
        <v>2015</v>
      </c>
      <c r="C14" s="24">
        <v>75000</v>
      </c>
      <c r="D14" s="24"/>
      <c r="E14" s="24"/>
      <c r="F14" s="15" t="s">
        <v>121</v>
      </c>
    </row>
    <row r="15" spans="1:6">
      <c r="A15" s="15" t="s">
        <v>102</v>
      </c>
      <c r="B15" s="16">
        <v>2013</v>
      </c>
      <c r="C15" s="19">
        <v>103000</v>
      </c>
      <c r="D15" s="24"/>
      <c r="E15" s="24"/>
      <c r="F15" s="15" t="s">
        <v>104</v>
      </c>
    </row>
    <row r="16" spans="1:6">
      <c r="A16" s="15" t="s">
        <v>102</v>
      </c>
      <c r="B16" s="16">
        <v>2013</v>
      </c>
      <c r="C16" s="19">
        <v>106000</v>
      </c>
      <c r="D16" s="24"/>
      <c r="E16" s="24"/>
      <c r="F16" s="15" t="s">
        <v>103</v>
      </c>
    </row>
    <row r="17" spans="1:6">
      <c r="A17" s="15" t="s">
        <v>102</v>
      </c>
      <c r="B17" s="16">
        <v>2012</v>
      </c>
      <c r="C17" s="19"/>
      <c r="D17" s="24"/>
      <c r="E17" s="24">
        <v>61600</v>
      </c>
      <c r="F17" s="15" t="s">
        <v>105</v>
      </c>
    </row>
    <row r="18" spans="1:6">
      <c r="A18" s="15" t="s">
        <v>102</v>
      </c>
      <c r="B18" s="16">
        <v>2012</v>
      </c>
      <c r="C18" s="19">
        <v>86000</v>
      </c>
      <c r="D18" s="24"/>
      <c r="E18" s="24"/>
      <c r="F18" s="15"/>
    </row>
    <row r="19" spans="1:6">
      <c r="A19" s="15" t="s">
        <v>192</v>
      </c>
      <c r="B19" s="16">
        <v>2015</v>
      </c>
      <c r="C19" s="24">
        <v>85000</v>
      </c>
      <c r="D19" s="24"/>
      <c r="E19" s="24"/>
      <c r="F19" s="15" t="s">
        <v>123</v>
      </c>
    </row>
    <row r="20" spans="1:6">
      <c r="A20" s="15" t="s">
        <v>193</v>
      </c>
      <c r="B20" s="16">
        <v>2015</v>
      </c>
      <c r="C20" s="24">
        <v>75000</v>
      </c>
      <c r="D20" s="24"/>
      <c r="E20" s="24"/>
      <c r="F20" s="15" t="s">
        <v>123</v>
      </c>
    </row>
    <row r="21" spans="1:6">
      <c r="A21" s="15"/>
      <c r="B21" s="15"/>
      <c r="C21" s="24"/>
      <c r="D21" s="24"/>
      <c r="E21" s="24"/>
      <c r="F21" s="15"/>
    </row>
    <row r="22" spans="1:6">
      <c r="A22" s="15"/>
      <c r="B22" s="15"/>
      <c r="C22" s="24"/>
      <c r="D22" s="24"/>
      <c r="E22" s="24"/>
      <c r="F22" s="15"/>
    </row>
    <row r="23" spans="1:6">
      <c r="A23" s="15"/>
      <c r="B23" s="15"/>
      <c r="C23" s="24"/>
      <c r="D23" s="24"/>
      <c r="E23" s="24"/>
      <c r="F23" s="15"/>
    </row>
    <row r="24" spans="1:6">
      <c r="A24" s="15"/>
      <c r="B24" s="15"/>
      <c r="C24" s="24"/>
      <c r="D24" s="24"/>
      <c r="E24" s="24"/>
      <c r="F24" s="15"/>
    </row>
    <row r="25" spans="1:6">
      <c r="A25" s="15"/>
      <c r="B25" s="15"/>
      <c r="C25" s="24"/>
      <c r="D25" s="24"/>
      <c r="E25" s="24"/>
      <c r="F25" s="15"/>
    </row>
    <row r="26" spans="1:6">
      <c r="A26" s="15"/>
      <c r="B26" s="15"/>
      <c r="C26" s="24"/>
      <c r="D26" s="24"/>
      <c r="E26" s="24"/>
      <c r="F26" s="15"/>
    </row>
    <row r="27" spans="1:6">
      <c r="A27" s="15"/>
      <c r="B27" s="15"/>
      <c r="C27" s="24"/>
      <c r="D27" s="24"/>
      <c r="E27" s="24"/>
      <c r="F27" s="15"/>
    </row>
    <row r="28" spans="1:6">
      <c r="A28" s="15"/>
      <c r="B28" s="15"/>
      <c r="C28" s="24"/>
      <c r="D28" s="24"/>
      <c r="E28" s="24"/>
      <c r="F28" s="15"/>
    </row>
  </sheetData>
  <sortState xmlns:xlrd2="http://schemas.microsoft.com/office/spreadsheetml/2017/richdata2" ref="A2:F20">
    <sortCondition ref="A2:A20"/>
    <sortCondition descending="1" ref="B2:B20"/>
    <sortCondition ref="F2:F2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AA77-1406-4C4D-9EA8-63A7D4924164}">
  <dimension ref="A1:D30"/>
  <sheetViews>
    <sheetView zoomScaleNormal="100" workbookViewId="0">
      <selection sqref="A1:D1"/>
    </sheetView>
  </sheetViews>
  <sheetFormatPr defaultRowHeight="14.25"/>
  <cols>
    <col min="1" max="1" width="29.7109375" style="81" bestFit="1" customWidth="1"/>
    <col min="2" max="2" width="20.28515625" style="81" bestFit="1" customWidth="1"/>
    <col min="3" max="3" width="26.5703125" style="81" bestFit="1" customWidth="1"/>
    <col min="4" max="4" width="45.5703125" style="81" bestFit="1" customWidth="1"/>
    <col min="5" max="16384" width="9.140625" style="81"/>
  </cols>
  <sheetData>
    <row r="1" spans="1:4" ht="23.25" thickBot="1">
      <c r="A1" s="188" t="s">
        <v>261</v>
      </c>
      <c r="B1" s="188"/>
      <c r="C1" s="188"/>
      <c r="D1" s="188"/>
    </row>
    <row r="2" spans="1:4" ht="18.75" thickBot="1">
      <c r="A2" s="189" t="s">
        <v>279</v>
      </c>
      <c r="B2" s="189"/>
      <c r="C2" s="189"/>
    </row>
    <row r="3" spans="1:4" ht="15">
      <c r="A3" s="106" t="s">
        <v>262</v>
      </c>
      <c r="B3" s="173"/>
    </row>
    <row r="4" spans="1:4" ht="15">
      <c r="A4" s="104" t="s">
        <v>280</v>
      </c>
      <c r="B4" s="102"/>
    </row>
    <row r="5" spans="1:4" ht="15.75">
      <c r="A5" s="104" t="s">
        <v>403</v>
      </c>
      <c r="B5" s="183" t="str">
        <f>IF(B4="Yes, Min",'Data Sheet'!E17,IF(B4="Yes, Standard",'Data Sheet'!E18,IF(B4="Yes, Max",'Data Sheet'!E19,"N/A")))</f>
        <v>N/A</v>
      </c>
    </row>
    <row r="6" spans="1:4" ht="15">
      <c r="A6" s="104" t="s">
        <v>259</v>
      </c>
      <c r="B6" s="102"/>
    </row>
    <row r="7" spans="1:4" ht="15">
      <c r="A7" s="104" t="s">
        <v>258</v>
      </c>
      <c r="B7" s="102"/>
    </row>
    <row r="8" spans="1:4" ht="18.75" thickBot="1">
      <c r="A8" s="190" t="s">
        <v>315</v>
      </c>
      <c r="B8" s="190"/>
      <c r="C8" s="190"/>
    </row>
    <row r="9" spans="1:4" ht="15">
      <c r="A9" s="106" t="s">
        <v>273</v>
      </c>
      <c r="B9" s="191">
        <f>IF(B4="Yes, Min",'Data Sheet'!F17,IF(B4="Yes, Standard",'Data Sheet'!F18,IF(B4="Yes, Max",'Data Sheet'!F19,B3)))</f>
        <v>0</v>
      </c>
      <c r="C9" s="191"/>
    </row>
    <row r="10" spans="1:4" ht="30">
      <c r="A10" s="105" t="s">
        <v>317</v>
      </c>
      <c r="B10" s="192">
        <f>B9*'Data Sheet'!B2</f>
        <v>0</v>
      </c>
      <c r="C10" s="192"/>
    </row>
    <row r="11" spans="1:4" ht="15">
      <c r="A11" s="104" t="s">
        <v>316</v>
      </c>
      <c r="B11" s="192">
        <v>2500</v>
      </c>
      <c r="C11" s="192"/>
    </row>
    <row r="12" spans="1:4" ht="45">
      <c r="A12" s="105" t="s">
        <v>281</v>
      </c>
      <c r="B12" s="193">
        <f>B10+B11</f>
        <v>2500</v>
      </c>
      <c r="C12" s="193"/>
    </row>
    <row r="14" spans="1:4" ht="18.75" thickBot="1">
      <c r="A14" s="190" t="s">
        <v>321</v>
      </c>
      <c r="B14" s="190"/>
      <c r="C14" s="190"/>
    </row>
    <row r="15" spans="1:4" ht="15">
      <c r="A15" s="112" t="s">
        <v>274</v>
      </c>
      <c r="B15" s="112" t="s">
        <v>275</v>
      </c>
      <c r="C15" s="112" t="s">
        <v>276</v>
      </c>
    </row>
    <row r="16" spans="1:4" ht="15">
      <c r="A16" s="104" t="s">
        <v>277</v>
      </c>
      <c r="B16" s="107" t="s">
        <v>282</v>
      </c>
      <c r="C16" s="108">
        <f>B12</f>
        <v>2500</v>
      </c>
    </row>
    <row r="17" spans="1:3" ht="15">
      <c r="A17" s="104" t="s">
        <v>257</v>
      </c>
      <c r="B17" s="109">
        <f>IF(AND(B6="Car",B7="4 Cyl"),45%,IF(AND(B6="Suv",B7="4 Cyl"),45%,IF(AND(B6="Car",B7="6 Cyl"),45%,IF(AND(B6="Suv",B7="6 Cyl"),45%,IF(AND(B6="Car",B7="8 Cyl"),45%,IF(AND(B6="Suv",B7="8 Cyl"),45%,IF(AND(B6="Pickup",B7="4 Cyl"),10%,IF(AND(B6="Pickup",B7="6 Cyl"),10%,IF(AND(B6="Pickup",B7="8 Cyl"),10%,IF(B6="Motorcycle",20%,IF(B6="Bus (20 passengers)",10%,IF(B6="Bus (Over 20 passengers)",10%,IF(B6="Truck (5 Tonnes)",10%,IF(B6="Tractor Truck",5%,IF(B6="Utility Trailer",5%,0)))))))))))))))</f>
        <v>0</v>
      </c>
      <c r="C17" s="110">
        <f>C16*B17</f>
        <v>0</v>
      </c>
    </row>
    <row r="18" spans="1:3" ht="15">
      <c r="A18" s="104" t="s">
        <v>260</v>
      </c>
      <c r="B18" s="109">
        <f>IF(AND(B6="Car",B7="6 Cyl"),5%,IF(AND(B6="Suv",B7="6 Cyl"),5%,IF(AND(B6="Car",B7="8 Cyl"),5%,IF(AND(B6="Suv",B7="8 Cyl"),5%,IF(AND(B6="Pickup",B7="6 Cyl"),15%,IF(AND(B6="Pickup",B7="8 Cyl"),15%,IF(B6="Bus (20 passengers)",5%,IF(B6="Bus (Over 20 passengers)",5%,IF(B6="Truck (5 Tonnes)",10%,IF(B6="Tractor Truck",10%,0))))))))))</f>
        <v>0</v>
      </c>
      <c r="C18" s="110">
        <f>C16*B18</f>
        <v>0</v>
      </c>
    </row>
    <row r="19" spans="1:3" ht="15">
      <c r="A19" s="104" t="s">
        <v>255</v>
      </c>
      <c r="B19" s="109">
        <v>0.125</v>
      </c>
      <c r="C19" s="110">
        <f>(C16+C17+C18+C20)*B19</f>
        <v>312.5</v>
      </c>
    </row>
    <row r="20" spans="1:3" ht="15">
      <c r="A20" s="104" t="s">
        <v>256</v>
      </c>
      <c r="B20" s="109">
        <f>IF(AND(B6="Car",B7="4 Cyl"),3%,IF(AND(B6="Suv",B7="4 Cyl"),3%,IF(AND(B6="Car",B7="6 Cyl"),5%,IF(AND(B6="Suv",B7="6 Cyl"),5%,IF(AND(B6="Car",B7="8 Cyl"),5%,IF(AND(B6="Suv",B7="8 Cyl"),5%,IF(AND(B6="Pickup",B7="4 Cyl"),3%,IF(AND(B6="Pickup",B7="6 Cyl"),5%,IF(AND(B6="Pickup",B7="8 Cyl"),5%,IF(B6="Motorcycle",3%,IF(B6="Bus (20 passengers)",5%,IF(B6="Bus (Over 20 passengers)",5%,IF(B6="Truck (5 Tonnes)",5%,IF(B6="Tractor Truck",5%,IF(B6="Utility Trailer",2%,0)))))))))))))))</f>
        <v>0</v>
      </c>
      <c r="C20" s="110">
        <f>C16*B20</f>
        <v>0</v>
      </c>
    </row>
    <row r="21" spans="1:3" ht="15">
      <c r="A21" s="104" t="s">
        <v>283</v>
      </c>
      <c r="B21" s="168">
        <f>(C21*1)/C16</f>
        <v>0.125</v>
      </c>
      <c r="C21" s="111">
        <f>SUM(C17:C20)</f>
        <v>312.5</v>
      </c>
    </row>
    <row r="23" spans="1:3" ht="18.75" thickBot="1">
      <c r="A23" s="190" t="s">
        <v>318</v>
      </c>
      <c r="B23" s="190"/>
      <c r="C23" s="190"/>
    </row>
    <row r="24" spans="1:3" ht="15">
      <c r="A24" s="106" t="s">
        <v>262</v>
      </c>
      <c r="B24" s="113">
        <f>B3</f>
        <v>0</v>
      </c>
    </row>
    <row r="25" spans="1:3" ht="15">
      <c r="A25" s="104" t="s">
        <v>254</v>
      </c>
      <c r="B25" s="110">
        <f>B10</f>
        <v>0</v>
      </c>
    </row>
    <row r="26" spans="1:3" ht="15">
      <c r="A26" s="104" t="s">
        <v>316</v>
      </c>
      <c r="B26" s="108">
        <f>B11</f>
        <v>2500</v>
      </c>
    </row>
    <row r="27" spans="1:3" ht="15">
      <c r="A27" s="104" t="s">
        <v>320</v>
      </c>
      <c r="B27" s="108">
        <f>C16</f>
        <v>2500</v>
      </c>
    </row>
    <row r="28" spans="1:3" ht="15">
      <c r="A28" s="104" t="s">
        <v>319</v>
      </c>
      <c r="B28" s="111">
        <f>C21</f>
        <v>312.5</v>
      </c>
    </row>
    <row r="29" spans="1:3" ht="31.5" thickBot="1">
      <c r="A29" s="105" t="s">
        <v>284</v>
      </c>
      <c r="B29" s="114">
        <f>C16+C21</f>
        <v>2812.5</v>
      </c>
    </row>
    <row r="30" spans="1:3" ht="15" thickTop="1"/>
  </sheetData>
  <mergeCells count="9">
    <mergeCell ref="A1:D1"/>
    <mergeCell ref="A2:C2"/>
    <mergeCell ref="A8:C8"/>
    <mergeCell ref="A23:C23"/>
    <mergeCell ref="B9:C9"/>
    <mergeCell ref="B10:C10"/>
    <mergeCell ref="B11:C11"/>
    <mergeCell ref="B12:C12"/>
    <mergeCell ref="A14:C14"/>
  </mergeCells>
  <conditionalFormatting sqref="B4:B5">
    <cfRule type="expression" dxfId="6" priority="5">
      <formula>$B$4="No"</formula>
    </cfRule>
    <cfRule type="expression" dxfId="5" priority="6">
      <formula>$B$4="Yes, Min"</formula>
    </cfRule>
  </conditionalFormatting>
  <conditionalFormatting sqref="B5">
    <cfRule type="expression" dxfId="4" priority="4">
      <formula>$B$5="N/A"</formula>
    </cfRule>
  </conditionalFormatting>
  <conditionalFormatting sqref="B4">
    <cfRule type="expression" dxfId="3" priority="1">
      <formula>$B$4="Yes, Standard"</formula>
    </cfRule>
    <cfRule type="expression" dxfId="2" priority="3">
      <formula>$B$4="Yes, Max"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5CC4DD0-64F3-44EB-8AA3-A568603C9248}">
          <x14:formula1>
            <xm:f>'Data Sheet'!$C$2:$C$10</xm:f>
          </x14:formula1>
          <xm:sqref>B6</xm:sqref>
        </x14:dataValidation>
        <x14:dataValidation type="list" allowBlank="1" showInputMessage="1" showErrorMessage="1" xr:uid="{81CEE262-1FFC-44FC-9E9A-7728A23A8C88}">
          <x14:formula1>
            <xm:f>'Data Sheet'!$D$2:$D$4</xm:f>
          </x14:formula1>
          <xm:sqref>B7</xm:sqref>
        </x14:dataValidation>
        <x14:dataValidation type="list" allowBlank="1" showInputMessage="1" showErrorMessage="1" xr:uid="{B8C94D5B-E69A-47EB-A5BB-7347F54E004A}">
          <x14:formula1>
            <xm:f>'Data Sheet'!$A$2:$A$5</xm:f>
          </x14:formula1>
          <xm:sqref>B4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workbookViewId="0"/>
  </sheetViews>
  <sheetFormatPr defaultRowHeight="15"/>
  <cols>
    <col min="1" max="1" width="8.28515625" bestFit="1" customWidth="1"/>
    <col min="2" max="2" width="5" style="7" bestFit="1" customWidth="1"/>
    <col min="3" max="3" width="20.85546875" bestFit="1" customWidth="1"/>
    <col min="4" max="4" width="21" bestFit="1" customWidth="1"/>
    <col min="5" max="5" width="21.140625" bestFit="1" customWidth="1"/>
    <col min="6" max="6" width="15.28515625" bestFit="1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 ht="15.75" thickBot="1">
      <c r="A2" s="13" t="s">
        <v>196</v>
      </c>
      <c r="B2" s="14">
        <v>2016</v>
      </c>
      <c r="C2" s="23">
        <v>42000</v>
      </c>
      <c r="D2" s="23"/>
      <c r="E2" s="23"/>
      <c r="F2" s="13" t="s">
        <v>198</v>
      </c>
    </row>
    <row r="3" spans="1:6" ht="15.75" thickBot="1">
      <c r="A3" s="15" t="s">
        <v>196</v>
      </c>
      <c r="B3" s="14">
        <v>2016</v>
      </c>
      <c r="C3" s="23">
        <v>40000</v>
      </c>
      <c r="D3" s="24"/>
      <c r="E3" s="24"/>
      <c r="F3" s="15" t="s">
        <v>197</v>
      </c>
    </row>
    <row r="4" spans="1:6">
      <c r="A4" s="15" t="s">
        <v>124</v>
      </c>
      <c r="B4" s="14">
        <v>2015</v>
      </c>
      <c r="C4" s="23">
        <v>95000</v>
      </c>
      <c r="D4" s="24"/>
      <c r="E4" s="24"/>
      <c r="F4" s="15" t="s">
        <v>125</v>
      </c>
    </row>
    <row r="5" spans="1:6">
      <c r="A5" s="15" t="s">
        <v>126</v>
      </c>
      <c r="B5" s="16">
        <v>2015</v>
      </c>
      <c r="C5" s="24">
        <v>83000</v>
      </c>
      <c r="D5" s="24"/>
      <c r="E5" s="24"/>
      <c r="F5" s="15" t="s">
        <v>125</v>
      </c>
    </row>
    <row r="6" spans="1:6">
      <c r="A6" s="15" t="s">
        <v>126</v>
      </c>
      <c r="B6" s="16">
        <v>2015</v>
      </c>
      <c r="C6" s="24">
        <v>88000</v>
      </c>
      <c r="D6" s="24"/>
      <c r="E6" s="24"/>
      <c r="F6" s="15" t="s">
        <v>127</v>
      </c>
    </row>
    <row r="7" spans="1:6">
      <c r="A7" s="15"/>
      <c r="B7" s="16"/>
      <c r="C7" s="24"/>
      <c r="D7" s="24"/>
      <c r="E7" s="24"/>
      <c r="F7" s="15"/>
    </row>
    <row r="8" spans="1:6">
      <c r="A8" s="15"/>
      <c r="B8" s="16"/>
      <c r="C8" s="24"/>
      <c r="D8" s="24"/>
      <c r="E8" s="24"/>
      <c r="F8" s="15"/>
    </row>
    <row r="9" spans="1:6">
      <c r="A9" s="15"/>
      <c r="B9" s="16"/>
      <c r="C9" s="24"/>
      <c r="D9" s="24"/>
      <c r="E9" s="24"/>
      <c r="F9" s="15"/>
    </row>
    <row r="10" spans="1:6">
      <c r="A10" s="15"/>
      <c r="B10" s="16"/>
      <c r="C10" s="24"/>
      <c r="D10" s="24"/>
      <c r="E10" s="24"/>
      <c r="F10" s="15"/>
    </row>
    <row r="11" spans="1:6">
      <c r="A11" s="15"/>
      <c r="B11" s="16"/>
      <c r="C11" s="24"/>
      <c r="D11" s="24"/>
      <c r="E11" s="24"/>
      <c r="F11" s="15"/>
    </row>
    <row r="12" spans="1:6">
      <c r="A12" s="15"/>
      <c r="B12" s="16"/>
      <c r="C12" s="24"/>
      <c r="D12" s="24"/>
      <c r="E12" s="24"/>
      <c r="F12" s="15"/>
    </row>
    <row r="13" spans="1:6">
      <c r="A13" s="15"/>
      <c r="B13" s="16"/>
      <c r="C13" s="24"/>
      <c r="D13" s="24"/>
      <c r="E13" s="24"/>
      <c r="F13" s="15"/>
    </row>
    <row r="14" spans="1:6">
      <c r="A14" s="15"/>
      <c r="B14" s="16"/>
      <c r="C14" s="24"/>
      <c r="D14" s="24"/>
      <c r="E14" s="24"/>
      <c r="F14" s="15"/>
    </row>
    <row r="15" spans="1:6">
      <c r="A15" s="15"/>
      <c r="B15" s="16"/>
      <c r="C15" s="24"/>
      <c r="D15" s="24"/>
      <c r="E15" s="24"/>
      <c r="F15" s="15"/>
    </row>
    <row r="16" spans="1:6">
      <c r="A16" s="15"/>
      <c r="B16" s="16"/>
      <c r="C16" s="24"/>
      <c r="D16" s="24"/>
      <c r="E16" s="24"/>
      <c r="F16" s="15"/>
    </row>
    <row r="17" spans="1:6">
      <c r="A17" s="15"/>
      <c r="B17" s="16"/>
      <c r="C17" s="24"/>
      <c r="D17" s="24"/>
      <c r="E17" s="24"/>
      <c r="F17" s="15"/>
    </row>
    <row r="18" spans="1:6">
      <c r="A18" s="15"/>
      <c r="B18" s="16"/>
      <c r="C18" s="24"/>
      <c r="D18" s="24"/>
      <c r="E18" s="24"/>
      <c r="F18" s="15"/>
    </row>
    <row r="19" spans="1:6">
      <c r="A19" s="15"/>
      <c r="B19" s="16"/>
      <c r="C19" s="24"/>
      <c r="D19" s="24"/>
      <c r="E19" s="24"/>
      <c r="F19" s="15"/>
    </row>
    <row r="20" spans="1:6">
      <c r="A20" s="15"/>
      <c r="B20" s="16"/>
      <c r="C20" s="24"/>
      <c r="D20" s="24"/>
      <c r="E20" s="24"/>
      <c r="F20" s="15"/>
    </row>
    <row r="21" spans="1:6">
      <c r="A21" s="15"/>
      <c r="B21" s="16"/>
      <c r="C21" s="24"/>
      <c r="D21" s="24"/>
      <c r="E21" s="24"/>
      <c r="F21" s="15"/>
    </row>
    <row r="22" spans="1:6">
      <c r="A22" s="15"/>
      <c r="B22" s="16"/>
      <c r="C22" s="24"/>
      <c r="D22" s="24"/>
      <c r="E22" s="24"/>
      <c r="F22" s="15"/>
    </row>
    <row r="23" spans="1:6">
      <c r="A23" s="15"/>
      <c r="B23" s="16"/>
      <c r="C23" s="24"/>
      <c r="D23" s="24"/>
      <c r="E23" s="24"/>
      <c r="F23" s="15"/>
    </row>
    <row r="24" spans="1:6">
      <c r="A24" s="15"/>
      <c r="B24" s="16"/>
      <c r="C24" s="24"/>
      <c r="D24" s="24"/>
      <c r="E24" s="24"/>
      <c r="F24" s="15"/>
    </row>
    <row r="25" spans="1:6">
      <c r="A25" s="15"/>
      <c r="B25" s="16"/>
      <c r="C25" s="24"/>
      <c r="D25" s="24"/>
      <c r="E25" s="24"/>
      <c r="F25" s="15"/>
    </row>
    <row r="26" spans="1:6">
      <c r="A26" s="15"/>
      <c r="B26" s="16"/>
      <c r="C26" s="24"/>
      <c r="D26" s="24"/>
      <c r="E26" s="24"/>
      <c r="F26" s="15"/>
    </row>
    <row r="27" spans="1:6">
      <c r="A27" s="15"/>
      <c r="B27" s="16"/>
      <c r="C27" s="24"/>
      <c r="D27" s="24"/>
      <c r="E27" s="24"/>
      <c r="F27" s="15"/>
    </row>
  </sheetData>
  <sortState xmlns:xlrd2="http://schemas.microsoft.com/office/spreadsheetml/2017/richdata2" ref="A2:F7">
    <sortCondition ref="A2:A7"/>
    <sortCondition descending="1" ref="B2:B7"/>
    <sortCondition ref="F2:F7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workbookViewId="0"/>
  </sheetViews>
  <sheetFormatPr defaultRowHeight="15"/>
  <cols>
    <col min="1" max="1" width="6.42578125" bestFit="1" customWidth="1"/>
    <col min="2" max="2" width="5" bestFit="1" customWidth="1"/>
    <col min="3" max="3" width="20.85546875" bestFit="1" customWidth="1"/>
    <col min="4" max="4" width="21" bestFit="1" customWidth="1"/>
    <col min="5" max="5" width="21.140625" bestFit="1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 ht="15.75" hidden="1" thickBot="1">
      <c r="A2" s="13" t="s">
        <v>133</v>
      </c>
      <c r="B2" s="14">
        <v>2016</v>
      </c>
      <c r="C2" s="23">
        <v>80000</v>
      </c>
      <c r="D2" s="23"/>
      <c r="E2" s="23"/>
      <c r="F2" s="13"/>
    </row>
    <row r="3" spans="1:6" ht="15.75" thickBot="1">
      <c r="A3" s="13" t="s">
        <v>133</v>
      </c>
      <c r="B3" s="15">
        <v>2017</v>
      </c>
      <c r="C3" s="24">
        <v>65000</v>
      </c>
      <c r="D3" s="24"/>
      <c r="E3" s="24"/>
      <c r="F3" s="15" t="s">
        <v>252</v>
      </c>
    </row>
    <row r="4" spans="1:6">
      <c r="A4" s="13" t="s">
        <v>133</v>
      </c>
      <c r="B4" s="15">
        <v>2017</v>
      </c>
      <c r="C4" s="24">
        <v>80000</v>
      </c>
      <c r="D4" s="24"/>
      <c r="E4" s="24"/>
      <c r="F4" s="15" t="s">
        <v>253</v>
      </c>
    </row>
    <row r="5" spans="1:6">
      <c r="A5" s="15"/>
      <c r="B5" s="15"/>
      <c r="C5" s="24"/>
      <c r="D5" s="24"/>
      <c r="E5" s="24"/>
      <c r="F5" s="15"/>
    </row>
    <row r="6" spans="1:6">
      <c r="A6" s="15"/>
      <c r="B6" s="15"/>
      <c r="C6" s="24"/>
      <c r="D6" s="24"/>
      <c r="E6" s="24"/>
      <c r="F6" s="15"/>
    </row>
    <row r="7" spans="1:6">
      <c r="A7" s="15"/>
      <c r="B7" s="15"/>
      <c r="C7" s="24"/>
      <c r="D7" s="24"/>
      <c r="E7" s="24"/>
      <c r="F7" s="15"/>
    </row>
    <row r="8" spans="1:6">
      <c r="A8" s="15"/>
      <c r="B8" s="15"/>
      <c r="C8" s="24"/>
      <c r="D8" s="24"/>
      <c r="E8" s="24"/>
      <c r="F8" s="15"/>
    </row>
    <row r="9" spans="1:6">
      <c r="A9" s="15"/>
      <c r="B9" s="15"/>
      <c r="C9" s="24"/>
      <c r="D9" s="24"/>
      <c r="E9" s="24"/>
      <c r="F9" s="15"/>
    </row>
    <row r="10" spans="1:6">
      <c r="A10" s="15"/>
      <c r="B10" s="15"/>
      <c r="C10" s="24"/>
      <c r="D10" s="24"/>
      <c r="E10" s="24"/>
      <c r="F10" s="15"/>
    </row>
    <row r="11" spans="1:6">
      <c r="A11" s="15"/>
      <c r="B11" s="15"/>
      <c r="C11" s="24"/>
      <c r="D11" s="24"/>
      <c r="E11" s="24"/>
      <c r="F11" s="15"/>
    </row>
    <row r="12" spans="1:6">
      <c r="A12" s="15"/>
      <c r="B12" s="15"/>
      <c r="C12" s="24"/>
      <c r="D12" s="24"/>
      <c r="E12" s="24"/>
      <c r="F12" s="15"/>
    </row>
    <row r="13" spans="1:6">
      <c r="A13" s="15"/>
      <c r="B13" s="15"/>
      <c r="C13" s="24"/>
      <c r="D13" s="24"/>
      <c r="E13" s="24"/>
      <c r="F13" s="15"/>
    </row>
    <row r="14" spans="1:6">
      <c r="A14" s="15"/>
      <c r="B14" s="15"/>
      <c r="C14" s="24"/>
      <c r="D14" s="24"/>
      <c r="E14" s="24"/>
      <c r="F14" s="15"/>
    </row>
    <row r="15" spans="1:6">
      <c r="A15" s="15"/>
      <c r="B15" s="15"/>
      <c r="C15" s="24"/>
      <c r="D15" s="24"/>
      <c r="E15" s="24"/>
      <c r="F15" s="15"/>
    </row>
    <row r="16" spans="1:6">
      <c r="A16" s="15"/>
      <c r="B16" s="15"/>
      <c r="C16" s="24"/>
      <c r="D16" s="24"/>
      <c r="E16" s="24"/>
      <c r="F16" s="15"/>
    </row>
    <row r="17" spans="1:6">
      <c r="A17" s="15"/>
      <c r="B17" s="15"/>
      <c r="C17" s="24"/>
      <c r="D17" s="24"/>
      <c r="E17" s="24"/>
      <c r="F17" s="15"/>
    </row>
    <row r="18" spans="1:6">
      <c r="A18" s="15"/>
      <c r="B18" s="15"/>
      <c r="C18" s="24"/>
      <c r="D18" s="24"/>
      <c r="E18" s="24"/>
      <c r="F18" s="15"/>
    </row>
    <row r="19" spans="1:6">
      <c r="A19" s="15"/>
      <c r="B19" s="15"/>
      <c r="C19" s="24"/>
      <c r="D19" s="24"/>
      <c r="E19" s="24"/>
      <c r="F19" s="15"/>
    </row>
    <row r="20" spans="1:6">
      <c r="A20" s="15"/>
      <c r="B20" s="15"/>
      <c r="C20" s="24"/>
      <c r="D20" s="24"/>
      <c r="E20" s="24"/>
      <c r="F20" s="15"/>
    </row>
    <row r="21" spans="1:6">
      <c r="A21" s="15"/>
      <c r="B21" s="15"/>
      <c r="C21" s="24"/>
      <c r="D21" s="24"/>
      <c r="E21" s="24"/>
      <c r="F21" s="15"/>
    </row>
    <row r="22" spans="1:6">
      <c r="A22" s="15"/>
      <c r="B22" s="15"/>
      <c r="C22" s="24"/>
      <c r="D22" s="24"/>
      <c r="E22" s="24"/>
      <c r="F22" s="15"/>
    </row>
    <row r="23" spans="1:6">
      <c r="A23" s="15"/>
      <c r="B23" s="15"/>
      <c r="C23" s="24"/>
      <c r="D23" s="24"/>
      <c r="E23" s="24"/>
      <c r="F23" s="15"/>
    </row>
    <row r="24" spans="1:6">
      <c r="A24" s="15"/>
      <c r="B24" s="15"/>
      <c r="C24" s="24"/>
      <c r="D24" s="24"/>
      <c r="E24" s="24"/>
      <c r="F24" s="15"/>
    </row>
    <row r="25" spans="1:6">
      <c r="A25" s="15"/>
      <c r="B25" s="15"/>
      <c r="C25" s="24"/>
      <c r="D25" s="24"/>
      <c r="E25" s="24"/>
      <c r="F25" s="15"/>
    </row>
    <row r="26" spans="1:6">
      <c r="A26" s="15"/>
      <c r="B26" s="15"/>
      <c r="C26" s="24"/>
      <c r="D26" s="24"/>
      <c r="E26" s="24"/>
      <c r="F26" s="15"/>
    </row>
    <row r="27" spans="1:6">
      <c r="A27" s="15"/>
      <c r="B27" s="15"/>
      <c r="C27" s="24"/>
      <c r="D27" s="24"/>
      <c r="E27" s="24"/>
      <c r="F27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workbookViewId="0">
      <selection activeCell="B10" sqref="B10"/>
    </sheetView>
  </sheetViews>
  <sheetFormatPr defaultRowHeight="15"/>
  <cols>
    <col min="2" max="2" width="5" bestFit="1" customWidth="1"/>
    <col min="3" max="3" width="20.85546875" bestFit="1" customWidth="1"/>
    <col min="4" max="4" width="21" bestFit="1" customWidth="1"/>
    <col min="5" max="5" width="21.140625" bestFit="1" customWidth="1"/>
    <col min="6" max="6" width="19.85546875" bestFit="1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 ht="15.75" thickBot="1">
      <c r="A2" s="176" t="s">
        <v>406</v>
      </c>
      <c r="B2" s="176">
        <v>2018</v>
      </c>
      <c r="C2" s="23">
        <v>69640</v>
      </c>
      <c r="D2" s="174"/>
      <c r="E2" s="174"/>
      <c r="F2" s="175"/>
    </row>
    <row r="3" spans="1:6" ht="15.75" thickBot="1">
      <c r="A3" s="13" t="s">
        <v>164</v>
      </c>
      <c r="B3" s="14">
        <v>2018</v>
      </c>
      <c r="C3" s="23">
        <v>76300</v>
      </c>
      <c r="D3" s="174"/>
      <c r="E3" s="174"/>
      <c r="F3" s="175"/>
    </row>
    <row r="4" spans="1:6">
      <c r="A4" s="13" t="s">
        <v>164</v>
      </c>
      <c r="B4" s="14">
        <v>2016</v>
      </c>
      <c r="C4" s="23">
        <v>60000</v>
      </c>
      <c r="D4" s="23"/>
      <c r="E4" s="23"/>
      <c r="F4" s="13" t="s">
        <v>166</v>
      </c>
    </row>
    <row r="5" spans="1:6">
      <c r="A5" s="15" t="s">
        <v>164</v>
      </c>
      <c r="B5" s="15">
        <v>2016</v>
      </c>
      <c r="C5" s="24">
        <v>68000</v>
      </c>
      <c r="D5" s="24"/>
      <c r="E5" s="24"/>
      <c r="F5" s="15" t="s">
        <v>213</v>
      </c>
    </row>
    <row r="6" spans="1:6">
      <c r="A6" s="15" t="s">
        <v>164</v>
      </c>
      <c r="B6" s="15">
        <v>2016</v>
      </c>
      <c r="C6" s="24">
        <v>69100</v>
      </c>
      <c r="D6" s="24"/>
      <c r="E6" s="24"/>
      <c r="F6" s="15" t="s">
        <v>212</v>
      </c>
    </row>
    <row r="7" spans="1:6">
      <c r="A7" s="15" t="s">
        <v>164</v>
      </c>
      <c r="B7" s="16">
        <v>2015</v>
      </c>
      <c r="C7" s="24">
        <v>54000</v>
      </c>
      <c r="D7" s="24"/>
      <c r="E7" s="24"/>
      <c r="F7" s="15" t="s">
        <v>167</v>
      </c>
    </row>
    <row r="8" spans="1:6">
      <c r="A8" s="15" t="s">
        <v>165</v>
      </c>
      <c r="B8" s="16">
        <v>2015</v>
      </c>
      <c r="C8" s="24">
        <v>81000</v>
      </c>
      <c r="D8" s="24"/>
      <c r="E8" s="24"/>
      <c r="F8" s="15" t="s">
        <v>175</v>
      </c>
    </row>
    <row r="9" spans="1:6">
      <c r="A9" s="15" t="s">
        <v>165</v>
      </c>
      <c r="B9" s="16">
        <v>2015</v>
      </c>
      <c r="C9" s="24">
        <v>72640</v>
      </c>
      <c r="D9" s="24">
        <v>63640</v>
      </c>
      <c r="E9" s="24"/>
      <c r="F9" s="15"/>
    </row>
    <row r="10" spans="1:6">
      <c r="A10" s="15" t="s">
        <v>409</v>
      </c>
      <c r="B10" s="15">
        <v>2018</v>
      </c>
      <c r="C10" s="24">
        <v>76300</v>
      </c>
      <c r="D10" s="24"/>
      <c r="E10" s="24"/>
      <c r="F10" s="15"/>
    </row>
    <row r="11" spans="1:6">
      <c r="A11" s="15"/>
      <c r="B11" s="15"/>
      <c r="C11" s="24"/>
      <c r="D11" s="24"/>
      <c r="E11" s="24"/>
      <c r="F11" s="15"/>
    </row>
    <row r="12" spans="1:6">
      <c r="A12" s="15"/>
      <c r="B12" s="15"/>
      <c r="C12" s="24"/>
      <c r="D12" s="24"/>
      <c r="E12" s="24"/>
      <c r="F12" s="15"/>
    </row>
    <row r="13" spans="1:6">
      <c r="A13" s="15"/>
      <c r="B13" s="15"/>
      <c r="C13" s="24"/>
      <c r="D13" s="24"/>
      <c r="E13" s="24"/>
      <c r="F13" s="15"/>
    </row>
    <row r="14" spans="1:6">
      <c r="A14" s="15"/>
      <c r="B14" s="15"/>
      <c r="C14" s="24"/>
      <c r="D14" s="24"/>
      <c r="E14" s="24"/>
      <c r="F14" s="15"/>
    </row>
    <row r="15" spans="1:6">
      <c r="A15" s="15"/>
      <c r="B15" s="15"/>
      <c r="C15" s="24"/>
      <c r="D15" s="24"/>
      <c r="E15" s="24"/>
      <c r="F15" s="15"/>
    </row>
    <row r="16" spans="1:6">
      <c r="A16" s="15"/>
      <c r="B16" s="15"/>
      <c r="C16" s="24"/>
      <c r="D16" s="24"/>
      <c r="E16" s="24"/>
      <c r="F16" s="15"/>
    </row>
    <row r="17" spans="1:6">
      <c r="A17" s="15"/>
      <c r="B17" s="15"/>
      <c r="C17" s="24"/>
      <c r="D17" s="24"/>
      <c r="E17" s="24"/>
      <c r="F17" s="15"/>
    </row>
    <row r="18" spans="1:6">
      <c r="A18" s="15"/>
      <c r="B18" s="15"/>
      <c r="C18" s="24"/>
      <c r="D18" s="24"/>
      <c r="E18" s="24"/>
      <c r="F18" s="15"/>
    </row>
    <row r="19" spans="1:6">
      <c r="A19" s="15"/>
      <c r="B19" s="15"/>
      <c r="C19" s="24"/>
      <c r="D19" s="24"/>
      <c r="E19" s="24"/>
      <c r="F19" s="15"/>
    </row>
    <row r="20" spans="1:6">
      <c r="A20" s="15"/>
      <c r="B20" s="15"/>
      <c r="C20" s="24"/>
      <c r="D20" s="24"/>
      <c r="E20" s="24"/>
      <c r="F20" s="15"/>
    </row>
    <row r="21" spans="1:6">
      <c r="A21" s="15"/>
      <c r="B21" s="15"/>
      <c r="C21" s="24"/>
      <c r="D21" s="24"/>
      <c r="E21" s="24"/>
      <c r="F21" s="15"/>
    </row>
    <row r="22" spans="1:6">
      <c r="A22" s="15"/>
      <c r="B22" s="15"/>
      <c r="C22" s="24"/>
      <c r="D22" s="24"/>
      <c r="E22" s="24"/>
      <c r="F22" s="15"/>
    </row>
    <row r="23" spans="1:6">
      <c r="A23" s="15"/>
      <c r="B23" s="15"/>
      <c r="C23" s="24"/>
      <c r="D23" s="24"/>
      <c r="E23" s="24"/>
      <c r="F23" s="15"/>
    </row>
    <row r="24" spans="1:6">
      <c r="A24" s="15"/>
      <c r="B24" s="15"/>
      <c r="C24" s="24"/>
      <c r="D24" s="24"/>
      <c r="E24" s="24"/>
      <c r="F24" s="15"/>
    </row>
    <row r="25" spans="1:6">
      <c r="A25" s="15"/>
      <c r="B25" s="15"/>
      <c r="C25" s="24"/>
      <c r="D25" s="24"/>
      <c r="E25" s="24"/>
      <c r="F25" s="15"/>
    </row>
    <row r="26" spans="1:6">
      <c r="A26" s="15"/>
      <c r="B26" s="15"/>
      <c r="C26" s="24"/>
      <c r="D26" s="24"/>
      <c r="E26" s="24"/>
      <c r="F26" s="15"/>
    </row>
    <row r="27" spans="1:6">
      <c r="A27" s="15"/>
      <c r="B27" s="15"/>
      <c r="C27" s="24"/>
      <c r="D27" s="24"/>
      <c r="E27" s="24"/>
      <c r="F27" s="15"/>
    </row>
    <row r="28" spans="1:6">
      <c r="A28" s="15"/>
      <c r="B28" s="15"/>
      <c r="C28" s="24"/>
      <c r="D28" s="24"/>
      <c r="E28" s="24"/>
      <c r="F28" s="15"/>
    </row>
    <row r="29" spans="1:6">
      <c r="A29" s="15"/>
      <c r="B29" s="15"/>
      <c r="C29" s="24"/>
      <c r="D29" s="24"/>
      <c r="E29" s="24"/>
      <c r="F29" s="15"/>
    </row>
  </sheetData>
  <sortState xmlns:xlrd2="http://schemas.microsoft.com/office/spreadsheetml/2017/richdata2" ref="A4:F10">
    <sortCondition ref="A4:A10"/>
    <sortCondition descending="1" ref="B4:B10"/>
    <sortCondition ref="F4:F10"/>
  </sortState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workbookViewId="0"/>
  </sheetViews>
  <sheetFormatPr defaultRowHeight="15"/>
  <cols>
    <col min="1" max="1" width="12.7109375" bestFit="1" customWidth="1"/>
    <col min="2" max="2" width="5" style="7" bestFit="1" customWidth="1"/>
    <col min="3" max="3" width="20" bestFit="1" customWidth="1"/>
    <col min="4" max="4" width="19.85546875" bestFit="1" customWidth="1"/>
    <col min="5" max="5" width="19.7109375" bestFit="1" customWidth="1"/>
    <col min="6" max="6" width="31.28515625" bestFit="1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>
      <c r="A2" s="13" t="s">
        <v>161</v>
      </c>
      <c r="B2" s="14">
        <v>2016</v>
      </c>
      <c r="C2" s="23">
        <v>78700</v>
      </c>
      <c r="D2" s="23"/>
      <c r="E2" s="23"/>
      <c r="F2" s="13" t="s">
        <v>163</v>
      </c>
    </row>
    <row r="3" spans="1:6">
      <c r="A3" s="15" t="s">
        <v>161</v>
      </c>
      <c r="B3" s="16">
        <v>2016</v>
      </c>
      <c r="C3" s="24">
        <v>89300</v>
      </c>
      <c r="D3" s="24"/>
      <c r="E3" s="24"/>
      <c r="F3" s="15" t="s">
        <v>162</v>
      </c>
    </row>
    <row r="4" spans="1:6">
      <c r="A4" s="15"/>
      <c r="B4" s="16"/>
      <c r="C4" s="24"/>
      <c r="D4" s="24"/>
      <c r="E4" s="24"/>
      <c r="F4" s="15"/>
    </row>
    <row r="5" spans="1:6">
      <c r="A5" s="15"/>
      <c r="B5" s="16"/>
      <c r="C5" s="24"/>
      <c r="D5" s="24"/>
      <c r="E5" s="24"/>
      <c r="F5" s="15"/>
    </row>
    <row r="6" spans="1:6">
      <c r="A6" s="15"/>
      <c r="B6" s="16"/>
      <c r="C6" s="24"/>
      <c r="D6" s="24"/>
      <c r="E6" s="24"/>
      <c r="F6" s="15"/>
    </row>
    <row r="7" spans="1:6">
      <c r="A7" s="15"/>
      <c r="B7" s="16"/>
      <c r="C7" s="24"/>
      <c r="D7" s="24"/>
      <c r="E7" s="24"/>
      <c r="F7" s="15"/>
    </row>
    <row r="8" spans="1:6">
      <c r="A8" s="15"/>
      <c r="B8" s="16"/>
      <c r="C8" s="24"/>
      <c r="D8" s="24"/>
      <c r="E8" s="24"/>
      <c r="F8" s="15"/>
    </row>
    <row r="9" spans="1:6">
      <c r="A9" s="15"/>
      <c r="B9" s="16"/>
      <c r="C9" s="24"/>
      <c r="D9" s="24"/>
      <c r="E9" s="24"/>
      <c r="F9" s="15"/>
    </row>
    <row r="10" spans="1:6">
      <c r="A10" s="15"/>
      <c r="B10" s="16"/>
      <c r="C10" s="24"/>
      <c r="D10" s="24"/>
      <c r="E10" s="24"/>
      <c r="F10" s="15"/>
    </row>
    <row r="11" spans="1:6">
      <c r="A11" s="15"/>
      <c r="B11" s="16"/>
      <c r="C11" s="24"/>
      <c r="D11" s="24"/>
      <c r="E11" s="24"/>
      <c r="F11" s="15"/>
    </row>
    <row r="12" spans="1:6">
      <c r="A12" s="15"/>
      <c r="B12" s="16"/>
      <c r="C12" s="24"/>
      <c r="D12" s="24"/>
      <c r="E12" s="24"/>
      <c r="F12" s="15"/>
    </row>
    <row r="13" spans="1:6">
      <c r="A13" s="15"/>
      <c r="B13" s="16"/>
      <c r="C13" s="24"/>
      <c r="D13" s="24"/>
      <c r="E13" s="24"/>
      <c r="F13" s="15"/>
    </row>
    <row r="14" spans="1:6">
      <c r="A14" s="15"/>
      <c r="B14" s="16"/>
      <c r="C14" s="24"/>
      <c r="D14" s="24"/>
      <c r="E14" s="24"/>
      <c r="F14" s="15"/>
    </row>
    <row r="15" spans="1:6">
      <c r="A15" s="15"/>
      <c r="B15" s="16"/>
      <c r="C15" s="24"/>
      <c r="D15" s="24"/>
      <c r="E15" s="24"/>
      <c r="F15" s="15"/>
    </row>
    <row r="16" spans="1:6">
      <c r="A16" s="15"/>
      <c r="B16" s="16"/>
      <c r="C16" s="24"/>
      <c r="D16" s="24"/>
      <c r="E16" s="24"/>
      <c r="F16" s="15"/>
    </row>
    <row r="17" spans="1:6">
      <c r="A17" s="15"/>
      <c r="B17" s="16"/>
      <c r="C17" s="24"/>
      <c r="D17" s="24"/>
      <c r="E17" s="24"/>
      <c r="F17" s="15"/>
    </row>
    <row r="18" spans="1:6">
      <c r="A18" s="15"/>
      <c r="B18" s="16"/>
      <c r="C18" s="24"/>
      <c r="D18" s="24"/>
      <c r="E18" s="24"/>
      <c r="F18" s="15"/>
    </row>
    <row r="19" spans="1:6">
      <c r="A19" s="15"/>
      <c r="B19" s="16"/>
      <c r="C19" s="24"/>
      <c r="D19" s="24"/>
      <c r="E19" s="24"/>
      <c r="F19" s="15"/>
    </row>
    <row r="20" spans="1:6">
      <c r="A20" s="15"/>
      <c r="B20" s="16"/>
      <c r="C20" s="24"/>
      <c r="D20" s="24"/>
      <c r="E20" s="24"/>
      <c r="F20" s="15"/>
    </row>
    <row r="21" spans="1:6">
      <c r="A21" s="15"/>
      <c r="B21" s="16"/>
      <c r="C21" s="24"/>
      <c r="D21" s="24"/>
      <c r="E21" s="24"/>
      <c r="F21" s="15"/>
    </row>
    <row r="22" spans="1:6">
      <c r="A22" s="15"/>
      <c r="B22" s="16"/>
      <c r="C22" s="24"/>
      <c r="D22" s="24"/>
      <c r="E22" s="24"/>
      <c r="F22" s="15"/>
    </row>
    <row r="23" spans="1:6">
      <c r="A23" s="15"/>
      <c r="B23" s="16"/>
      <c r="C23" s="24"/>
      <c r="D23" s="24"/>
      <c r="E23" s="24"/>
      <c r="F23" s="15"/>
    </row>
    <row r="24" spans="1:6">
      <c r="A24" s="15"/>
      <c r="B24" s="16"/>
      <c r="C24" s="24"/>
      <c r="D24" s="24"/>
      <c r="E24" s="24"/>
      <c r="F24" s="15"/>
    </row>
    <row r="25" spans="1:6">
      <c r="A25" s="15"/>
      <c r="B25" s="16"/>
      <c r="C25" s="24"/>
      <c r="D25" s="24"/>
      <c r="E25" s="24"/>
      <c r="F25" s="15"/>
    </row>
    <row r="26" spans="1:6">
      <c r="A26" s="15"/>
      <c r="B26" s="16"/>
      <c r="C26" s="24"/>
      <c r="D26" s="24"/>
      <c r="E26" s="24"/>
      <c r="F26" s="15"/>
    </row>
    <row r="27" spans="1:6">
      <c r="A27" s="15"/>
      <c r="B27" s="16"/>
      <c r="C27" s="24"/>
      <c r="D27" s="24"/>
      <c r="E27" s="24"/>
      <c r="F27" s="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7"/>
  <sheetViews>
    <sheetView workbookViewId="0"/>
  </sheetViews>
  <sheetFormatPr defaultRowHeight="15"/>
  <cols>
    <col min="1" max="1" width="6.85546875" bestFit="1" customWidth="1"/>
    <col min="2" max="2" width="5" bestFit="1" customWidth="1"/>
    <col min="3" max="3" width="20.85546875" bestFit="1" customWidth="1"/>
    <col min="4" max="4" width="21" bestFit="1" customWidth="1"/>
    <col min="5" max="5" width="21.140625" bestFit="1" customWidth="1"/>
    <col min="6" max="6" width="60.7109375" bestFit="1" customWidth="1"/>
  </cols>
  <sheetData>
    <row r="1" spans="1:6" ht="15.75" thickBot="1">
      <c r="A1" s="10" t="s">
        <v>2</v>
      </c>
      <c r="B1" s="10" t="s">
        <v>0</v>
      </c>
      <c r="C1" s="11" t="s">
        <v>32</v>
      </c>
      <c r="D1" s="11" t="s">
        <v>33</v>
      </c>
      <c r="E1" s="11" t="s">
        <v>34</v>
      </c>
      <c r="F1" s="12" t="s">
        <v>1</v>
      </c>
    </row>
    <row r="2" spans="1:6" ht="15.75" thickBot="1">
      <c r="A2" s="13" t="s">
        <v>179</v>
      </c>
      <c r="B2" s="14">
        <v>2016</v>
      </c>
      <c r="C2" s="23">
        <v>48600</v>
      </c>
      <c r="D2" s="23"/>
      <c r="E2" s="23"/>
      <c r="F2" s="13" t="s">
        <v>180</v>
      </c>
    </row>
    <row r="3" spans="1:6" ht="15.75" thickBot="1">
      <c r="A3" s="13" t="s">
        <v>179</v>
      </c>
      <c r="B3" s="14">
        <v>2016</v>
      </c>
      <c r="C3" s="24">
        <v>54000</v>
      </c>
      <c r="D3" s="24"/>
      <c r="E3" s="24"/>
      <c r="F3" s="15" t="s">
        <v>181</v>
      </c>
    </row>
    <row r="4" spans="1:6" ht="15.75" thickBot="1">
      <c r="A4" s="13" t="s">
        <v>179</v>
      </c>
      <c r="B4" s="14">
        <v>2016</v>
      </c>
      <c r="C4" s="24">
        <v>54000</v>
      </c>
      <c r="D4" s="24"/>
      <c r="E4" s="24"/>
      <c r="F4" s="15" t="s">
        <v>181</v>
      </c>
    </row>
    <row r="5" spans="1:6" ht="15.75" thickBot="1">
      <c r="A5" s="13" t="s">
        <v>179</v>
      </c>
      <c r="B5" s="14">
        <v>2016</v>
      </c>
      <c r="C5" s="24">
        <v>59800</v>
      </c>
      <c r="D5" s="24"/>
      <c r="E5" s="24"/>
      <c r="F5" s="15" t="s">
        <v>185</v>
      </c>
    </row>
    <row r="6" spans="1:6" ht="15.75" thickBot="1">
      <c r="A6" s="13" t="s">
        <v>179</v>
      </c>
      <c r="B6" s="14">
        <v>2016</v>
      </c>
      <c r="C6" s="24">
        <v>59800</v>
      </c>
      <c r="D6" s="24"/>
      <c r="E6" s="24"/>
      <c r="F6" s="15" t="s">
        <v>185</v>
      </c>
    </row>
    <row r="7" spans="1:6" ht="15.75" thickBot="1">
      <c r="A7" s="13" t="s">
        <v>179</v>
      </c>
      <c r="B7" s="14">
        <v>2016</v>
      </c>
      <c r="C7" s="24">
        <v>61200</v>
      </c>
      <c r="D7" s="24"/>
      <c r="E7" s="24"/>
      <c r="F7" s="15" t="s">
        <v>186</v>
      </c>
    </row>
    <row r="8" spans="1:6">
      <c r="A8" s="13" t="s">
        <v>179</v>
      </c>
      <c r="B8" s="14">
        <v>2016</v>
      </c>
      <c r="C8" s="24">
        <v>61200</v>
      </c>
      <c r="D8" s="24"/>
      <c r="E8" s="24"/>
      <c r="F8" s="15" t="s">
        <v>186</v>
      </c>
    </row>
    <row r="9" spans="1:6">
      <c r="A9" s="15"/>
      <c r="B9" s="16"/>
      <c r="C9" s="24"/>
      <c r="D9" s="24"/>
      <c r="E9" s="24"/>
      <c r="F9" s="15"/>
    </row>
    <row r="10" spans="1:6">
      <c r="A10" s="15"/>
      <c r="B10" s="16"/>
      <c r="C10" s="24"/>
      <c r="D10" s="24"/>
      <c r="E10" s="24"/>
      <c r="F10" s="15"/>
    </row>
    <row r="11" spans="1:6">
      <c r="A11" s="15"/>
      <c r="B11" s="16"/>
      <c r="C11" s="24"/>
      <c r="D11" s="24"/>
      <c r="E11" s="24"/>
      <c r="F11" s="15"/>
    </row>
    <row r="12" spans="1:6">
      <c r="A12" s="15"/>
      <c r="B12" s="16"/>
      <c r="C12" s="24"/>
      <c r="D12" s="24"/>
      <c r="E12" s="24"/>
      <c r="F12" s="15"/>
    </row>
    <row r="13" spans="1:6">
      <c r="A13" s="15"/>
      <c r="B13" s="16"/>
      <c r="C13" s="24"/>
      <c r="D13" s="24"/>
      <c r="E13" s="24"/>
      <c r="F13" s="15"/>
    </row>
    <row r="14" spans="1:6">
      <c r="A14" s="15"/>
      <c r="B14" s="16"/>
      <c r="C14" s="24"/>
      <c r="D14" s="24"/>
      <c r="E14" s="24"/>
      <c r="F14" s="15"/>
    </row>
    <row r="15" spans="1:6">
      <c r="A15" s="15"/>
      <c r="B15" s="16"/>
      <c r="C15" s="24"/>
      <c r="D15" s="24"/>
      <c r="E15" s="24"/>
      <c r="F15" s="15"/>
    </row>
    <row r="16" spans="1:6">
      <c r="A16" s="15"/>
      <c r="B16" s="16"/>
      <c r="C16" s="24"/>
      <c r="D16" s="24"/>
      <c r="E16" s="24"/>
      <c r="F16" s="15"/>
    </row>
    <row r="17" spans="1:6">
      <c r="A17" s="15"/>
      <c r="B17" s="16"/>
      <c r="C17" s="24"/>
      <c r="D17" s="24"/>
      <c r="E17" s="24"/>
      <c r="F17" s="15"/>
    </row>
    <row r="18" spans="1:6">
      <c r="A18" s="15"/>
      <c r="B18" s="16"/>
      <c r="C18" s="24"/>
      <c r="D18" s="24"/>
      <c r="E18" s="24"/>
      <c r="F18" s="15"/>
    </row>
    <row r="19" spans="1:6">
      <c r="A19" s="15"/>
      <c r="B19" s="16"/>
      <c r="C19" s="24"/>
      <c r="D19" s="24"/>
      <c r="E19" s="24"/>
      <c r="F19" s="15"/>
    </row>
    <row r="20" spans="1:6">
      <c r="A20" s="15"/>
      <c r="B20" s="16"/>
      <c r="C20" s="24"/>
      <c r="D20" s="24"/>
      <c r="E20" s="24"/>
      <c r="F20" s="15"/>
    </row>
    <row r="21" spans="1:6">
      <c r="A21" s="15"/>
      <c r="B21" s="16"/>
      <c r="C21" s="24"/>
      <c r="D21" s="24"/>
      <c r="E21" s="24"/>
      <c r="F21" s="15"/>
    </row>
    <row r="22" spans="1:6">
      <c r="A22" s="15"/>
      <c r="B22" s="16"/>
      <c r="C22" s="24"/>
      <c r="D22" s="24"/>
      <c r="E22" s="24"/>
      <c r="F22" s="15"/>
    </row>
    <row r="23" spans="1:6">
      <c r="A23" s="15"/>
      <c r="B23" s="16"/>
      <c r="C23" s="24"/>
      <c r="D23" s="24"/>
      <c r="E23" s="24"/>
      <c r="F23" s="15"/>
    </row>
    <row r="24" spans="1:6">
      <c r="A24" s="15"/>
      <c r="B24" s="16"/>
      <c r="C24" s="24"/>
      <c r="D24" s="24"/>
      <c r="E24" s="24"/>
      <c r="F24" s="15"/>
    </row>
    <row r="25" spans="1:6">
      <c r="A25" s="15"/>
      <c r="B25" s="16"/>
      <c r="C25" s="24"/>
      <c r="D25" s="24"/>
      <c r="E25" s="24"/>
      <c r="F25" s="15"/>
    </row>
    <row r="26" spans="1:6">
      <c r="A26" s="15"/>
      <c r="B26" s="16"/>
      <c r="C26" s="24"/>
      <c r="D26" s="24"/>
      <c r="E26" s="24"/>
      <c r="F26" s="15"/>
    </row>
    <row r="27" spans="1:6">
      <c r="A27" s="15"/>
      <c r="B27" s="16"/>
      <c r="C27" s="24"/>
      <c r="D27" s="24"/>
      <c r="E27" s="24"/>
      <c r="F27" s="15"/>
    </row>
  </sheetData>
  <sortState xmlns:xlrd2="http://schemas.microsoft.com/office/spreadsheetml/2017/richdata2" ref="A2:F8">
    <sortCondition ref="A2:A8"/>
    <sortCondition descending="1" ref="B2:B8"/>
    <sortCondition ref="F2:F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640D7-4C3D-4497-9C89-43552FC263CF}">
  <dimension ref="A1:F27"/>
  <sheetViews>
    <sheetView workbookViewId="0"/>
  </sheetViews>
  <sheetFormatPr defaultColWidth="8.85546875" defaultRowHeight="15"/>
  <cols>
    <col min="1" max="1" width="6.42578125" style="73" bestFit="1" customWidth="1"/>
    <col min="2" max="2" width="5" style="73" bestFit="1" customWidth="1"/>
    <col min="3" max="3" width="20" style="73" bestFit="1" customWidth="1"/>
    <col min="4" max="4" width="19.85546875" style="73" bestFit="1" customWidth="1"/>
    <col min="5" max="5" width="19.7109375" style="73" bestFit="1" customWidth="1"/>
    <col min="6" max="6" width="55.28515625" style="73" bestFit="1" customWidth="1"/>
    <col min="7" max="16384" width="8.85546875" style="73"/>
  </cols>
  <sheetData>
    <row r="1" spans="1:6" ht="15.75" thickBot="1">
      <c r="A1" s="70" t="s">
        <v>2</v>
      </c>
      <c r="B1" s="70" t="s">
        <v>0</v>
      </c>
      <c r="C1" s="71" t="s">
        <v>32</v>
      </c>
      <c r="D1" s="71" t="s">
        <v>33</v>
      </c>
      <c r="E1" s="71" t="s">
        <v>34</v>
      </c>
      <c r="F1" s="72" t="s">
        <v>1</v>
      </c>
    </row>
    <row r="2" spans="1:6" hidden="1">
      <c r="A2" s="74" t="s">
        <v>244</v>
      </c>
      <c r="B2" s="75">
        <v>2017</v>
      </c>
      <c r="C2" s="76">
        <v>2992.5</v>
      </c>
      <c r="D2" s="76"/>
      <c r="E2" s="77"/>
      <c r="F2" s="77" t="s">
        <v>245</v>
      </c>
    </row>
    <row r="3" spans="1:6">
      <c r="A3" s="74" t="s">
        <v>244</v>
      </c>
      <c r="B3" s="75">
        <v>2018</v>
      </c>
      <c r="C3" s="78">
        <v>3015</v>
      </c>
      <c r="D3" s="78"/>
      <c r="E3" s="79"/>
      <c r="F3" s="79" t="s">
        <v>246</v>
      </c>
    </row>
    <row r="4" spans="1:6">
      <c r="A4" s="79"/>
      <c r="B4" s="80"/>
      <c r="C4" s="78"/>
      <c r="D4" s="78"/>
      <c r="E4" s="78"/>
      <c r="F4" s="79"/>
    </row>
    <row r="5" spans="1:6">
      <c r="A5" s="79"/>
      <c r="B5" s="80"/>
      <c r="C5" s="78"/>
      <c r="D5" s="78"/>
      <c r="E5" s="78"/>
      <c r="F5" s="79"/>
    </row>
    <row r="6" spans="1:6">
      <c r="A6" s="74"/>
      <c r="B6" s="75"/>
      <c r="C6" s="78"/>
      <c r="D6" s="78"/>
      <c r="E6" s="78"/>
      <c r="F6" s="79"/>
    </row>
    <row r="7" spans="1:6">
      <c r="A7" s="74"/>
      <c r="B7" s="75"/>
      <c r="C7" s="78"/>
      <c r="D7" s="78"/>
      <c r="E7" s="78"/>
      <c r="F7" s="79"/>
    </row>
    <row r="8" spans="1:6">
      <c r="A8" s="74"/>
      <c r="B8" s="75"/>
      <c r="C8" s="78"/>
      <c r="D8" s="78"/>
      <c r="E8" s="78"/>
      <c r="F8" s="79"/>
    </row>
    <row r="9" spans="1:6">
      <c r="A9" s="79"/>
      <c r="B9" s="80"/>
      <c r="C9" s="78"/>
      <c r="D9" s="78"/>
      <c r="E9" s="78"/>
      <c r="F9" s="79"/>
    </row>
    <row r="10" spans="1:6">
      <c r="A10" s="79"/>
      <c r="B10" s="80"/>
      <c r="C10" s="78"/>
      <c r="D10" s="78"/>
      <c r="E10" s="78"/>
      <c r="F10" s="79"/>
    </row>
    <row r="11" spans="1:6">
      <c r="A11" s="79"/>
      <c r="B11" s="80"/>
      <c r="C11" s="78"/>
      <c r="D11" s="78"/>
      <c r="E11" s="78"/>
      <c r="F11" s="79"/>
    </row>
    <row r="12" spans="1:6">
      <c r="A12" s="79"/>
      <c r="B12" s="80"/>
      <c r="C12" s="78"/>
      <c r="D12" s="78"/>
      <c r="E12" s="78"/>
      <c r="F12" s="79"/>
    </row>
    <row r="13" spans="1:6">
      <c r="A13" s="79"/>
      <c r="B13" s="80"/>
      <c r="C13" s="78"/>
      <c r="D13" s="78"/>
      <c r="E13" s="78"/>
      <c r="F13" s="79"/>
    </row>
    <row r="14" spans="1:6">
      <c r="A14" s="79"/>
      <c r="B14" s="80"/>
      <c r="C14" s="78"/>
      <c r="D14" s="78"/>
      <c r="E14" s="78"/>
      <c r="F14" s="79"/>
    </row>
    <row r="15" spans="1:6">
      <c r="A15" s="79"/>
      <c r="B15" s="80"/>
      <c r="C15" s="78"/>
      <c r="D15" s="78"/>
      <c r="E15" s="78"/>
      <c r="F15" s="79"/>
    </row>
    <row r="16" spans="1:6">
      <c r="A16" s="79"/>
      <c r="B16" s="80"/>
      <c r="C16" s="78"/>
      <c r="D16" s="78"/>
      <c r="E16" s="78"/>
      <c r="F16" s="79"/>
    </row>
    <row r="17" spans="1:6">
      <c r="A17" s="79"/>
      <c r="B17" s="80"/>
      <c r="C17" s="78"/>
      <c r="D17" s="78"/>
      <c r="E17" s="78"/>
      <c r="F17" s="79"/>
    </row>
    <row r="18" spans="1:6">
      <c r="A18" s="79"/>
      <c r="B18" s="80"/>
      <c r="C18" s="78"/>
      <c r="D18" s="78"/>
      <c r="E18" s="78"/>
      <c r="F18" s="79"/>
    </row>
    <row r="19" spans="1:6">
      <c r="A19" s="79"/>
      <c r="B19" s="80"/>
      <c r="C19" s="78"/>
      <c r="D19" s="78"/>
      <c r="E19" s="78"/>
      <c r="F19" s="79"/>
    </row>
    <row r="20" spans="1:6">
      <c r="A20" s="79"/>
      <c r="B20" s="80"/>
      <c r="C20" s="78"/>
      <c r="D20" s="78"/>
      <c r="E20" s="78"/>
      <c r="F20" s="79"/>
    </row>
    <row r="21" spans="1:6">
      <c r="A21" s="79"/>
      <c r="B21" s="80"/>
      <c r="C21" s="78"/>
      <c r="D21" s="78"/>
      <c r="E21" s="78"/>
      <c r="F21" s="79"/>
    </row>
    <row r="22" spans="1:6">
      <c r="A22" s="79"/>
      <c r="B22" s="80"/>
      <c r="C22" s="78"/>
      <c r="D22" s="78"/>
      <c r="E22" s="78"/>
      <c r="F22" s="79"/>
    </row>
    <row r="23" spans="1:6">
      <c r="A23" s="79"/>
      <c r="B23" s="80"/>
      <c r="C23" s="78"/>
      <c r="D23" s="78"/>
      <c r="E23" s="78"/>
      <c r="F23" s="79"/>
    </row>
    <row r="24" spans="1:6">
      <c r="A24" s="79"/>
      <c r="B24" s="80"/>
      <c r="C24" s="78"/>
      <c r="D24" s="78"/>
      <c r="E24" s="78"/>
      <c r="F24" s="79"/>
    </row>
    <row r="25" spans="1:6">
      <c r="A25" s="79"/>
      <c r="B25" s="80"/>
      <c r="C25" s="78"/>
      <c r="D25" s="78"/>
      <c r="E25" s="78"/>
      <c r="F25" s="79"/>
    </row>
    <row r="26" spans="1:6">
      <c r="A26" s="79"/>
      <c r="B26" s="80"/>
      <c r="C26" s="78"/>
      <c r="D26" s="78"/>
      <c r="E26" s="78"/>
      <c r="F26" s="79"/>
    </row>
    <row r="27" spans="1:6">
      <c r="A27" s="79"/>
      <c r="B27" s="80"/>
      <c r="C27" s="78"/>
      <c r="D27" s="78"/>
      <c r="E27" s="78"/>
      <c r="F27" s="7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3055-7071-4346-8CE6-5D1370B8128B}">
  <dimension ref="A1:D30"/>
  <sheetViews>
    <sheetView tabSelected="1" topLeftCell="A5" workbookViewId="0">
      <selection activeCell="B6" sqref="B6"/>
    </sheetView>
  </sheetViews>
  <sheetFormatPr defaultRowHeight="15"/>
  <cols>
    <col min="1" max="1" width="29.28515625" bestFit="1" customWidth="1"/>
    <col min="2" max="2" width="20.7109375" customWidth="1"/>
    <col min="3" max="3" width="20.7109375" hidden="1" customWidth="1"/>
    <col min="4" max="4" width="23.28515625" customWidth="1"/>
    <col min="6" max="6" width="10.140625" bestFit="1" customWidth="1"/>
  </cols>
  <sheetData>
    <row r="1" spans="1:4" hidden="1"/>
    <row r="2" spans="1:4" hidden="1"/>
    <row r="3" spans="1:4" hidden="1"/>
    <row r="4" spans="1:4" ht="15.75" hidden="1" thickBot="1"/>
    <row r="5" spans="1:4" ht="18.75" thickBot="1">
      <c r="A5" s="189" t="s">
        <v>279</v>
      </c>
      <c r="B5" s="189"/>
    </row>
    <row r="6" spans="1:4" ht="15.75">
      <c r="A6" s="105" t="s">
        <v>417</v>
      </c>
      <c r="B6" s="184"/>
    </row>
    <row r="7" spans="1:4" s="81" customFormat="1">
      <c r="A7" s="104" t="s">
        <v>259</v>
      </c>
      <c r="B7" s="102"/>
    </row>
    <row r="8" spans="1:4" s="81" customFormat="1">
      <c r="A8" s="104" t="s">
        <v>258</v>
      </c>
      <c r="B8" s="102"/>
    </row>
    <row r="10" spans="1:4" ht="15.75">
      <c r="A10" s="179" t="s">
        <v>412</v>
      </c>
      <c r="B10" s="111">
        <f>IF(C21=74.375%,B6*Formula!B1,IF(C21=66.5%,B6*Formula!B2,IF(C21=27.125%,B6*Formula!B3,IF(C21=46.25%,B6*Formula!B4,IF(C21=38.375%,B6*Formula!B5,IF(C21=35%,B6*Formula!B6,IF(C21=40.625%,B6*Formula!B7,IF(C21=20.375%,B6*Formula!B8,0))))))))</f>
        <v>0</v>
      </c>
      <c r="C10" s="180"/>
    </row>
    <row r="11" spans="1:4" ht="33" customHeight="1">
      <c r="A11" s="179" t="s">
        <v>416</v>
      </c>
      <c r="B11" s="186">
        <f>B6-B10</f>
        <v>0</v>
      </c>
      <c r="C11" s="181"/>
    </row>
    <row r="12" spans="1:4" ht="30.75" thickBot="1">
      <c r="A12" s="187" t="s">
        <v>414</v>
      </c>
      <c r="B12" s="185">
        <f>B11/2.0525</f>
        <v>0</v>
      </c>
    </row>
    <row r="13" spans="1:4" ht="16.5" customHeight="1"/>
    <row r="14" spans="1:4" s="81" customFormat="1" ht="18.75" thickBot="1">
      <c r="A14" s="190" t="s">
        <v>413</v>
      </c>
      <c r="B14" s="190"/>
      <c r="C14" s="190"/>
      <c r="D14" s="190"/>
    </row>
    <row r="15" spans="1:4" s="81" customFormat="1">
      <c r="A15" s="112" t="s">
        <v>274</v>
      </c>
      <c r="B15" s="112" t="s">
        <v>275</v>
      </c>
      <c r="C15" s="112"/>
      <c r="D15" s="112" t="s">
        <v>276</v>
      </c>
    </row>
    <row r="16" spans="1:4" s="81" customFormat="1">
      <c r="A16" s="104" t="s">
        <v>415</v>
      </c>
      <c r="B16" s="107" t="s">
        <v>282</v>
      </c>
      <c r="C16" s="107"/>
      <c r="D16" s="108">
        <f>B11</f>
        <v>0</v>
      </c>
    </row>
    <row r="17" spans="1:4" s="81" customFormat="1">
      <c r="A17" s="104" t="s">
        <v>257</v>
      </c>
      <c r="B17" s="109">
        <f>IF(AND(B7="Car",B8="4 Cyl"),45%,IF(AND(B7="Suv",B8="4 Cyl"),45%,IF(AND(B7="Car",B8="6 Cyl"),45%,IF(AND(B7="Suv",B8="6 Cyl"),45%,IF(AND(B7="Car",B8="8 Cyl"),45%,IF(AND(B7="Suv",B8="8 Cyl"),45%,IF(AND(B7="Pickup",B8="4 Cyl"),10%,IF(AND(B7="Pickup",B8="6 Cyl"),10%,IF(AND(B7="Pickup",B8="8 Cyl"),10%,IF(B7="Motorcycle",20%,IF(B7="Bus (20 passengers)",10%,IF(B7="Bus (Over 20 passengers)",10%,IF(B7="Truck (5 Tonnes)",10%,IF(B7="Tractor Truck",5%,IF(B7="Utility Trailer",5%,0)))))))))))))))</f>
        <v>0</v>
      </c>
      <c r="C17" s="182">
        <f>100%*B17</f>
        <v>0</v>
      </c>
      <c r="D17" s="110">
        <f>D16*B17</f>
        <v>0</v>
      </c>
    </row>
    <row r="18" spans="1:4" s="81" customFormat="1">
      <c r="A18" s="104" t="s">
        <v>260</v>
      </c>
      <c r="B18" s="109">
        <f>IF(AND(B7="Car",B8="6 Cyl"),5%,IF(AND(B7="Suv",B8="6 Cyl"),5%,IF(AND(B7="Car",B8="8 Cyl"),5%,IF(AND(B7="Suv",B8="8 Cyl"),5%,IF(AND(B7="Pickup",B8="6 Cyl"),15%,IF(AND(B7="Pickup",B8="8 Cyl"),15%,IF(B7="Bus (20 passengers)",5%,IF(B7="Bus (Over 20 passengers)",5%,IF(B7="Truck (5 Tonnes)",10%,IF(B7="Tractor Truck",10%,0))))))))))</f>
        <v>0</v>
      </c>
      <c r="C18" s="182">
        <f>100%*B18</f>
        <v>0</v>
      </c>
      <c r="D18" s="110">
        <f>D16*B18</f>
        <v>0</v>
      </c>
    </row>
    <row r="19" spans="1:4" s="81" customFormat="1">
      <c r="A19" s="104" t="s">
        <v>255</v>
      </c>
      <c r="B19" s="109">
        <v>0.125</v>
      </c>
      <c r="C19" s="182">
        <f>(100%+C17+C18+C20)*B19</f>
        <v>0.125</v>
      </c>
      <c r="D19" s="110">
        <f>(D16+D17+D18+D20)*B19</f>
        <v>0</v>
      </c>
    </row>
    <row r="20" spans="1:4" s="81" customFormat="1">
      <c r="A20" s="104" t="s">
        <v>256</v>
      </c>
      <c r="B20" s="109">
        <f>IF(AND(B7="Car",B8="4 Cyl"),3%,IF(AND(B7="Suv",B8="4 Cyl"),3%,IF(AND(B7="Car",B8="6 Cyl"),5%,IF(AND(B7="Suv",B8="6 Cyl"),5%,IF(AND(B7="Car",B8="8 Cyl"),5%,IF(AND(B7="Suv",B8="8 Cyl"),5%,IF(AND(B7="Pickup",B8="4 Cyl"),3%,IF(AND(B7="Pickup",B8="6 Cyl"),5%,IF(AND(B7="Pickup",B8="8 Cyl"),5%,IF(B7="Motorcycle",3%,IF(B7="Bus (20 passengers)",5%,IF(B7="Bus (Over 20 passengers)",5%,IF(B7="Truck (5 Tonnes)",5%,IF(B7="Tractor Truck",5%,IF(B7="Utility Trailer",2%,0)))))))))))))))</f>
        <v>0</v>
      </c>
      <c r="C20" s="182">
        <f>100%*B20</f>
        <v>0</v>
      </c>
      <c r="D20" s="110">
        <f>D16*B20</f>
        <v>0</v>
      </c>
    </row>
    <row r="21" spans="1:4" s="81" customFormat="1">
      <c r="A21" s="104" t="s">
        <v>283</v>
      </c>
      <c r="B21" s="168" t="e">
        <f>(D21*1)/D16</f>
        <v>#DIV/0!</v>
      </c>
      <c r="C21" s="168">
        <f>SUM(C17:C20)</f>
        <v>0.125</v>
      </c>
      <c r="D21" s="111">
        <f>SUM(D17:D20)</f>
        <v>0</v>
      </c>
    </row>
    <row r="24" spans="1:4">
      <c r="A24" s="177"/>
      <c r="B24" s="178"/>
    </row>
    <row r="25" spans="1:4">
      <c r="A25" s="177"/>
      <c r="B25" s="178"/>
    </row>
    <row r="26" spans="1:4">
      <c r="A26" s="177"/>
      <c r="B26" s="178"/>
    </row>
    <row r="27" spans="1:4">
      <c r="A27" s="177"/>
      <c r="B27" s="178"/>
    </row>
    <row r="28" spans="1:4">
      <c r="A28" s="177"/>
      <c r="B28" s="178"/>
    </row>
    <row r="29" spans="1:4">
      <c r="A29" s="177"/>
      <c r="B29" s="178"/>
    </row>
    <row r="30" spans="1:4">
      <c r="A30" s="177"/>
      <c r="B30" s="178"/>
    </row>
  </sheetData>
  <sheetProtection algorithmName="SHA-512" hashValue="wrxVazpHLkGC/7X7cStAQ3SP3qQOK6zW6H2OVjv/hXbKgNHBDE5Mo4q4BhXmnGETWKAMiV9sxbQzT6C53t0BOQ==" saltValue="5bjxF8Pcyc7MfAqzqzsRiA==" spinCount="100000" sheet="1" formatCells="0" formatColumns="0" formatRows="0"/>
  <mergeCells count="2">
    <mergeCell ref="A14:D14"/>
    <mergeCell ref="A5:B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77F116-582A-4E69-8B5A-ADBC44913D70}">
          <x14:formula1>
            <xm:f>'Data Sheet'!$D$2:$D$4</xm:f>
          </x14:formula1>
          <xm:sqref>B8:C8</xm:sqref>
        </x14:dataValidation>
        <x14:dataValidation type="list" allowBlank="1" showInputMessage="1" showErrorMessage="1" xr:uid="{263C8081-9980-4FEB-8CB9-6D6911B88707}">
          <x14:formula1>
            <xm:f>'Data Sheet'!$C$2:$C$10</xm:f>
          </x14:formula1>
          <xm:sqref>B7:C7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A985F-8EFC-42B7-A606-67B90EDC7996}">
  <dimension ref="A1:B8"/>
  <sheetViews>
    <sheetView workbookViewId="0">
      <selection activeCell="B8" sqref="B8"/>
    </sheetView>
  </sheetViews>
  <sheetFormatPr defaultRowHeight="15"/>
  <cols>
    <col min="1" max="1" width="11.140625" style="177" bestFit="1" customWidth="1"/>
    <col min="2" max="2" width="10.140625" style="178" bestFit="1" customWidth="1"/>
  </cols>
  <sheetData>
    <row r="1" spans="1:2">
      <c r="A1" s="177">
        <v>0.74375000000000002</v>
      </c>
      <c r="B1" s="178">
        <v>0.42652329999999999</v>
      </c>
    </row>
    <row r="2" spans="1:2">
      <c r="A2" s="177">
        <v>0.66500000000000004</v>
      </c>
      <c r="B2" s="178">
        <v>0.39939940000000002</v>
      </c>
    </row>
    <row r="3" spans="1:2">
      <c r="A3" s="177">
        <v>0.27124999999999999</v>
      </c>
      <c r="B3" s="178">
        <v>0.2133726</v>
      </c>
    </row>
    <row r="4" spans="1:2">
      <c r="A4" s="177">
        <v>0.46250000000000002</v>
      </c>
      <c r="B4" s="178">
        <v>0.31623925000000003</v>
      </c>
    </row>
    <row r="5" spans="1:2">
      <c r="A5" s="177">
        <v>0.38374999999999998</v>
      </c>
      <c r="B5" s="178">
        <v>0.27732603</v>
      </c>
    </row>
    <row r="6" spans="1:2">
      <c r="A6" s="177">
        <v>0.35</v>
      </c>
      <c r="B6" s="178">
        <v>0.25925920000000002</v>
      </c>
    </row>
    <row r="7" spans="1:2">
      <c r="A7" s="177">
        <v>0.40625</v>
      </c>
      <c r="B7" s="178">
        <v>0.28888888000000001</v>
      </c>
    </row>
    <row r="8" spans="1:2">
      <c r="A8" s="177">
        <v>0.20374999999999999</v>
      </c>
      <c r="B8" s="178">
        <v>0.16926279829999999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AD96-3A72-4A86-8039-DB593182D6AB}">
  <dimension ref="A1:K43"/>
  <sheetViews>
    <sheetView workbookViewId="0">
      <selection activeCell="B2" sqref="B2"/>
    </sheetView>
  </sheetViews>
  <sheetFormatPr defaultRowHeight="15"/>
  <cols>
    <col min="1" max="1" width="23.5703125" bestFit="1" customWidth="1"/>
    <col min="2" max="2" width="23" bestFit="1" customWidth="1"/>
    <col min="3" max="3" width="22.42578125" bestFit="1" customWidth="1"/>
    <col min="4" max="4" width="18.140625" customWidth="1"/>
    <col min="5" max="5" width="16.5703125" bestFit="1" customWidth="1"/>
    <col min="6" max="6" width="20.42578125" customWidth="1"/>
  </cols>
  <sheetData>
    <row r="1" spans="1:11" ht="23.25" thickBot="1">
      <c r="A1" s="188" t="s">
        <v>261</v>
      </c>
      <c r="B1" s="188"/>
      <c r="C1" s="188"/>
      <c r="D1" s="188"/>
      <c r="E1" s="188"/>
    </row>
    <row r="2" spans="1:11" ht="22.5">
      <c r="A2" s="106" t="s">
        <v>399</v>
      </c>
      <c r="B2" s="132"/>
      <c r="C2" s="170"/>
      <c r="D2" s="170"/>
      <c r="E2" s="170"/>
    </row>
    <row r="3" spans="1:11" ht="22.5">
      <c r="A3" s="106" t="s">
        <v>398</v>
      </c>
      <c r="B3" s="131"/>
      <c r="C3" s="170"/>
      <c r="D3" s="170"/>
      <c r="E3" s="170"/>
    </row>
    <row r="4" spans="1:11" ht="15.75">
      <c r="A4" s="106" t="s">
        <v>336</v>
      </c>
      <c r="B4" s="131">
        <v>2018</v>
      </c>
      <c r="C4" s="84"/>
      <c r="D4" s="84"/>
      <c r="E4" s="84"/>
      <c r="F4" s="84"/>
    </row>
    <row r="5" spans="1:11" ht="15.75">
      <c r="A5" s="106" t="s">
        <v>322</v>
      </c>
      <c r="B5" s="103"/>
      <c r="C5" s="84"/>
      <c r="D5" s="84"/>
      <c r="E5" s="84"/>
      <c r="F5" s="84"/>
    </row>
    <row r="6" spans="1:11" ht="21">
      <c r="A6" s="106" t="s">
        <v>2</v>
      </c>
      <c r="B6" s="103"/>
      <c r="C6" s="84"/>
      <c r="D6" s="84"/>
      <c r="E6" s="197"/>
      <c r="F6" s="197"/>
      <c r="G6" s="197"/>
      <c r="H6" s="197"/>
      <c r="I6" s="197"/>
      <c r="J6" s="197"/>
      <c r="K6" s="197"/>
    </row>
    <row r="7" spans="1:11" ht="15.75">
      <c r="A7" s="106" t="s">
        <v>1</v>
      </c>
      <c r="B7" s="132"/>
      <c r="C7" s="84"/>
      <c r="D7" s="167">
        <f>IF(AND(B5="Toyota",B6="FourRunner",B7="Fully loaded",B8="Duty Paid &amp; Tax Paid"),Toyota!C4,IF(AND(B5="Toyota",B6="FourRunner",B7="Fully loaded",B8="Duty Free &amp; Tax Paid"),Toyota!D4,IF(AND(B5="Toyota",B6="FourRunner",B7="Fully loaded",B8="Duty Free &amp; Tax Free"),Toyota!E4,IF(AND(B5="Toyota",B6="Fortuner",B7="Fully loaded",B8="Duty Paid &amp; Tax Paid"),Toyota!C7,IF(AND(B5="Toyota",B6="Fortuner",B7="Fully loaded",B8="Duty Free &amp; Tax Paid"),Toyota!D7,IF(AND(B5="Toyota",B6="Fortuner",B7="Fully loaded",B8="Duty Free &amp; Tax Free"),Toyota!E7,IF(AND(B5="Toyota",B6="HiaceVan",B7="High Roof 16 Passenger",B8="Duty Paid &amp; Tax Paid"),Toyota!C12,IF(AND(B5="Toyota",B6="HiaceVan",B7="High Roof 16 Passenger",B8="Duty Free &amp; Tax Paid"),Toyota!D12,IF(AND(B5="Toyota",B6="HiaceVan",B7="High Roof 16 Passenger",B8="Duty Free &amp; Tax Free"),Toyota!E12,0)))))))))</f>
        <v>0</v>
      </c>
      <c r="E7" s="84"/>
      <c r="F7" s="84"/>
    </row>
    <row r="8" spans="1:11" ht="15.75">
      <c r="A8" s="106" t="s">
        <v>323</v>
      </c>
      <c r="B8" s="103"/>
      <c r="C8" s="84"/>
      <c r="D8" s="84"/>
      <c r="E8" s="84"/>
      <c r="F8" s="84"/>
    </row>
    <row r="9" spans="1:11" ht="15.75" thickBot="1">
      <c r="C9" s="84"/>
      <c r="D9" s="84"/>
      <c r="E9" s="84"/>
      <c r="F9" s="84"/>
    </row>
    <row r="10" spans="1:11" ht="16.5" thickBot="1">
      <c r="A10" s="194" t="s">
        <v>305</v>
      </c>
      <c r="B10" s="195"/>
      <c r="C10" s="196"/>
      <c r="D10" s="115"/>
      <c r="E10" s="115"/>
    </row>
    <row r="11" spans="1:11">
      <c r="A11" s="122" t="s">
        <v>408</v>
      </c>
      <c r="B11" s="123"/>
      <c r="C11" s="116"/>
      <c r="D11" s="115"/>
      <c r="E11" s="115"/>
    </row>
    <row r="12" spans="1:11" ht="15.75">
      <c r="A12" s="124" t="s">
        <v>306</v>
      </c>
      <c r="B12" s="125"/>
      <c r="C12" s="131">
        <f>2019-B4</f>
        <v>1</v>
      </c>
      <c r="D12" s="115"/>
      <c r="E12" s="115"/>
    </row>
    <row r="13" spans="1:11" ht="15.75" thickBot="1">
      <c r="A13" s="126" t="s">
        <v>307</v>
      </c>
      <c r="B13" s="127"/>
      <c r="C13" s="117">
        <v>0.15</v>
      </c>
      <c r="D13" s="115"/>
      <c r="E13" s="115"/>
    </row>
    <row r="14" spans="1:11">
      <c r="A14" s="81"/>
      <c r="B14" s="115"/>
      <c r="C14" s="115"/>
      <c r="D14" s="115"/>
      <c r="E14" s="115"/>
    </row>
    <row r="15" spans="1:11" ht="15.75" thickBot="1">
      <c r="A15" s="81"/>
      <c r="B15" s="115"/>
      <c r="C15" s="115"/>
      <c r="D15" s="115"/>
      <c r="E15" s="115"/>
    </row>
    <row r="16" spans="1:11" ht="16.5" thickBot="1">
      <c r="A16" s="128" t="s">
        <v>308</v>
      </c>
      <c r="B16" s="129"/>
      <c r="C16" s="129"/>
      <c r="D16" s="129"/>
      <c r="E16" s="130"/>
      <c r="G16" s="85"/>
      <c r="H16" s="85"/>
      <c r="I16" s="85"/>
      <c r="J16" s="85"/>
      <c r="K16" s="85"/>
    </row>
    <row r="17" spans="1:11" ht="30">
      <c r="A17" s="118" t="s">
        <v>0</v>
      </c>
      <c r="B17" s="119" t="s">
        <v>309</v>
      </c>
      <c r="C17" s="119" t="s">
        <v>310</v>
      </c>
      <c r="D17" s="119" t="s">
        <v>311</v>
      </c>
      <c r="E17" s="119" t="s">
        <v>312</v>
      </c>
      <c r="G17" s="85"/>
      <c r="H17" s="85"/>
      <c r="I17" s="85"/>
      <c r="J17" s="85"/>
      <c r="K17" s="85"/>
    </row>
    <row r="18" spans="1:11">
      <c r="A18" s="120">
        <f>IF(C12=0, "", C12/C12)</f>
        <v>1</v>
      </c>
      <c r="B18" s="121" t="str">
        <f>IF(ISBLANK(C11), "", C11)</f>
        <v/>
      </c>
      <c r="C18" s="121" t="str">
        <f>IF(ISBLANK(C11),"",C11*C13)</f>
        <v/>
      </c>
      <c r="D18" s="121" t="str">
        <f>IF(ISBLANK(C11), "", C18)</f>
        <v/>
      </c>
      <c r="E18" s="121" t="str">
        <f>IF(ISBLANK(C11), "", C11-C18)</f>
        <v/>
      </c>
      <c r="G18" s="85"/>
      <c r="H18" s="85"/>
      <c r="I18" s="85"/>
      <c r="J18" s="85"/>
      <c r="K18" s="85"/>
    </row>
    <row r="19" spans="1:11">
      <c r="A19" s="120" t="str">
        <f>IF(C12&lt;2, "", A18+1)</f>
        <v/>
      </c>
      <c r="B19" s="121" t="str">
        <f>IF(C12&lt;2,"",E18)</f>
        <v/>
      </c>
      <c r="C19" s="121" t="str">
        <f>IF(C12&lt;2, "", E18*C13)</f>
        <v/>
      </c>
      <c r="D19" s="121" t="str">
        <f>IF(C12&lt;2, "", C18+C19)</f>
        <v/>
      </c>
      <c r="E19" s="169" t="str">
        <f>IF(C12&lt;2, "", B19-C19)</f>
        <v/>
      </c>
      <c r="G19" s="85"/>
      <c r="H19" s="85"/>
      <c r="I19" s="85"/>
      <c r="J19" s="85"/>
      <c r="K19" s="85"/>
    </row>
    <row r="20" spans="1:11">
      <c r="A20" s="120" t="str">
        <f>IF(C12&lt;3,"",A19+1)</f>
        <v/>
      </c>
      <c r="B20" s="121" t="str">
        <f>IF(C12&lt;3, "", E19)</f>
        <v/>
      </c>
      <c r="C20" s="121" t="str">
        <f>IF(C12&lt;3, "", E19*C13)</f>
        <v/>
      </c>
      <c r="D20" s="121" t="str">
        <f>IF(C12&lt;3, "", C18+C19+C20)</f>
        <v/>
      </c>
      <c r="E20" s="121" t="str">
        <f>IF(C12&lt;3, "", B20-C20)</f>
        <v/>
      </c>
      <c r="G20" s="85"/>
      <c r="H20" s="85"/>
      <c r="I20" s="85"/>
      <c r="J20" s="85"/>
      <c r="K20" s="85"/>
    </row>
    <row r="21" spans="1:11">
      <c r="A21" s="120" t="str">
        <f>IF(C12&lt;4, "", A20+1)</f>
        <v/>
      </c>
      <c r="B21" s="121" t="str">
        <f>IF(C12&lt;4, "", E20)</f>
        <v/>
      </c>
      <c r="C21" s="121" t="str">
        <f>IF(C12&lt;4, "", E20*C13)</f>
        <v/>
      </c>
      <c r="D21" s="121" t="str">
        <f>IF(C12&lt;4, "", C18+C19+C20+C21)</f>
        <v/>
      </c>
      <c r="E21" s="121" t="str">
        <f>IF(C12&lt;4, "", B21-C21)</f>
        <v/>
      </c>
      <c r="G21" s="85"/>
      <c r="H21" s="85"/>
      <c r="I21" s="85"/>
      <c r="J21" s="85"/>
      <c r="K21" s="85"/>
    </row>
    <row r="22" spans="1:11">
      <c r="A22" s="120" t="str">
        <f>IF(C12&lt;5, "", A21+1)</f>
        <v/>
      </c>
      <c r="B22" s="121" t="str">
        <f>IF(C12&lt;5, "", E21)</f>
        <v/>
      </c>
      <c r="C22" s="121" t="str">
        <f>IF(C12&lt;5, "", E21*C13)</f>
        <v/>
      </c>
      <c r="D22" s="121" t="str">
        <f>IF(C12&lt;5,"",C18+C19+C20+C21+C22)</f>
        <v/>
      </c>
      <c r="E22" s="121" t="str">
        <f>IF(C12&lt;5, "", B22-C22)</f>
        <v/>
      </c>
      <c r="G22" s="85"/>
      <c r="H22" s="85"/>
      <c r="I22" s="85"/>
      <c r="J22" s="85"/>
      <c r="K22" s="85"/>
    </row>
    <row r="23" spans="1:11">
      <c r="A23" s="120" t="str">
        <f>IF(C12&lt;6, "", A22+1)</f>
        <v/>
      </c>
      <c r="B23" s="121" t="str">
        <f>IF(C12&lt;6, "", E22)</f>
        <v/>
      </c>
      <c r="C23" s="121" t="str">
        <f>IF(C12&lt;6, "", E22*C13)</f>
        <v/>
      </c>
      <c r="D23" s="121" t="str">
        <f>IF(C12&lt;6,"",C18+C19+C20+C21+C22+C23)</f>
        <v/>
      </c>
      <c r="E23" s="121" t="str">
        <f>IF(C12&lt;6, "", B23-C23)</f>
        <v/>
      </c>
      <c r="G23" s="85"/>
      <c r="H23" s="85"/>
      <c r="I23" s="85"/>
      <c r="J23" s="85"/>
      <c r="K23" s="85"/>
    </row>
    <row r="24" spans="1:11">
      <c r="A24" s="120" t="str">
        <f>IF(C12&lt;7, "", A23+1)</f>
        <v/>
      </c>
      <c r="B24" s="121" t="str">
        <f>IF(C12&lt;7, "", E23)</f>
        <v/>
      </c>
      <c r="C24" s="121" t="str">
        <f>IF(C12&lt;7, "", E23*C13)</f>
        <v/>
      </c>
      <c r="D24" s="121" t="str">
        <f>IF(C12&lt;7, "", C18+C19+C20+C21+C22+C23+C24)</f>
        <v/>
      </c>
      <c r="E24" s="121" t="str">
        <f>IF(C12&lt;7, "", B24-C24)</f>
        <v/>
      </c>
      <c r="G24" s="85"/>
      <c r="H24" s="85"/>
      <c r="I24" s="85"/>
      <c r="J24" s="85"/>
      <c r="K24" s="85"/>
    </row>
    <row r="25" spans="1:11">
      <c r="A25" s="120" t="str">
        <f>IF(C12&lt;8, "", A24+1)</f>
        <v/>
      </c>
      <c r="B25" s="121" t="str">
        <f>IF(C12&lt;8, "", E24)</f>
        <v/>
      </c>
      <c r="C25" s="121" t="str">
        <f>IF(C12&lt;8, "", E24*C13)</f>
        <v/>
      </c>
      <c r="D25" s="121" t="str">
        <f>IF(C12&lt;8, "", C18+C19+C20+C21+C22+C23+C24+C25)</f>
        <v/>
      </c>
      <c r="E25" s="121" t="str">
        <f>IF(C12&lt;8, "", B25-C25)</f>
        <v/>
      </c>
      <c r="G25" s="85"/>
      <c r="H25" s="85"/>
      <c r="I25" s="85"/>
      <c r="J25" s="85"/>
      <c r="K25" s="85"/>
    </row>
    <row r="26" spans="1:11">
      <c r="A26" s="120" t="str">
        <f>IF(C12&lt;9, "", A25+1)</f>
        <v/>
      </c>
      <c r="B26" s="121" t="str">
        <f>IF(C12&lt;9, "", E25)</f>
        <v/>
      </c>
      <c r="C26" s="121" t="str">
        <f>IF(C12&lt;9, "", E25*C13)</f>
        <v/>
      </c>
      <c r="D26" s="121" t="str">
        <f>IF(C12&lt;9, "", C18+C19+C20+C21+C22+C23+C24+C25+C26)</f>
        <v/>
      </c>
      <c r="E26" s="121" t="str">
        <f>IF(C12&lt;9, "", B26-C26)</f>
        <v/>
      </c>
      <c r="G26" s="85"/>
      <c r="H26" s="85"/>
      <c r="I26" s="85"/>
      <c r="J26" s="85"/>
      <c r="K26" s="85"/>
    </row>
    <row r="27" spans="1:11">
      <c r="A27" s="120" t="str">
        <f>IF(C12&lt;10, "", A26+1)</f>
        <v/>
      </c>
      <c r="B27" s="121" t="str">
        <f>IF(C12&lt;10, "", E26)</f>
        <v/>
      </c>
      <c r="C27" s="121" t="str">
        <f>IF(C12&lt;10, "", E26*C13)</f>
        <v/>
      </c>
      <c r="D27" s="121" t="str">
        <f>IF(C12&lt;10, "", C18+C19+C20+C21+C22+C23+C24+C25+C26+C27)</f>
        <v/>
      </c>
      <c r="E27" s="121" t="str">
        <f>IF(C12&lt;10, "", B27-C27)</f>
        <v/>
      </c>
      <c r="G27" s="85"/>
      <c r="H27" s="85"/>
      <c r="I27" s="85"/>
      <c r="J27" s="85"/>
      <c r="K27" s="85"/>
    </row>
    <row r="28" spans="1:11">
      <c r="A28" s="120" t="str">
        <f>IF(C12&lt;11, "", A27+1)</f>
        <v/>
      </c>
      <c r="B28" s="121" t="str">
        <f>IF(C12&lt;11, "", E27)</f>
        <v/>
      </c>
      <c r="C28" s="121" t="str">
        <f>IF(C12&lt;11, "", E27*C13)</f>
        <v/>
      </c>
      <c r="D28" s="121" t="str">
        <f>IF(C12&lt;11, "", C18+C19+C20+C21+C22+C23+C24+C25+C26+C27+C28)</f>
        <v/>
      </c>
      <c r="E28" s="121" t="str">
        <f>IF(C12&lt;11, "", B28-C28)</f>
        <v/>
      </c>
      <c r="G28" s="85"/>
      <c r="H28" s="85"/>
      <c r="I28" s="85"/>
      <c r="J28" s="85"/>
      <c r="K28" s="85"/>
    </row>
    <row r="29" spans="1:11">
      <c r="A29" s="120" t="str">
        <f>IF(C12&lt;12, "", A28+1)</f>
        <v/>
      </c>
      <c r="B29" s="121" t="str">
        <f>IF(C12&lt;12, "", E28)</f>
        <v/>
      </c>
      <c r="C29" s="121" t="str">
        <f>IF(C12&lt;12, "", E28*C13)</f>
        <v/>
      </c>
      <c r="D29" s="121" t="str">
        <f>IF(C12&lt;12, "", C18+C19+C20+C21+C22+C23+C24+C25+C26+C27+C28+C29)</f>
        <v/>
      </c>
      <c r="E29" s="121" t="str">
        <f>IF(C12&lt;12, "", B29-C29)</f>
        <v/>
      </c>
      <c r="G29" s="85"/>
      <c r="H29" s="85"/>
      <c r="I29" s="85"/>
      <c r="J29" s="85"/>
      <c r="K29" s="85"/>
    </row>
    <row r="30" spans="1:11">
      <c r="A30" s="120" t="str">
        <f>IF(C12&lt;13, "", A29+1)</f>
        <v/>
      </c>
      <c r="B30" s="121" t="str">
        <f>IF(C12&lt;13, "", E29)</f>
        <v/>
      </c>
      <c r="C30" s="121" t="str">
        <f>IF(C12&lt;13, "", E29*C13)</f>
        <v/>
      </c>
      <c r="D30" s="121" t="str">
        <f>IF(C12&lt;13, "", C18+C19+C20+C21+C22+C23+C24+C25+C26+C27+C28+C29+C30)</f>
        <v/>
      </c>
      <c r="E30" s="121" t="str">
        <f>IF(C12&lt;13, "", B30-C30)</f>
        <v/>
      </c>
      <c r="G30" s="85"/>
      <c r="H30" s="85"/>
      <c r="I30" s="85"/>
      <c r="J30" s="85"/>
      <c r="K30" s="85"/>
    </row>
    <row r="31" spans="1:11">
      <c r="A31" s="120" t="str">
        <f>IF(C12&lt;14, "", A30+1)</f>
        <v/>
      </c>
      <c r="B31" s="121" t="str">
        <f>IF(C12&lt;14, "", E30)</f>
        <v/>
      </c>
      <c r="C31" s="121" t="str">
        <f>IF(C12&lt;14, "", E30*C13)</f>
        <v/>
      </c>
      <c r="D31" s="121" t="str">
        <f>IF(C12&lt;14, "", C18+C19+C20+C21+C22+C23+C24+C25+C26+C27+C28+C29+C30+C31)</f>
        <v/>
      </c>
      <c r="E31" s="121" t="str">
        <f>IF(C12&lt;14, "", B31-C31)</f>
        <v/>
      </c>
      <c r="G31" s="85"/>
      <c r="H31" s="85"/>
      <c r="I31" s="85"/>
      <c r="J31" s="85"/>
      <c r="K31" s="85"/>
    </row>
    <row r="32" spans="1:11">
      <c r="A32" s="120" t="str">
        <f>IF(C12&lt;15, "", A31+1)</f>
        <v/>
      </c>
      <c r="B32" s="121" t="str">
        <f>IF(C12&lt;15, "", E31)</f>
        <v/>
      </c>
      <c r="C32" s="121" t="str">
        <f>IF(C12&lt;15, "", E31*C13)</f>
        <v/>
      </c>
      <c r="D32" s="121" t="str">
        <f>IF(C12&lt;15, "", C18+C19+C20+C21+C22+C23+C24+C25+C26+C27+C28+C29+C30+C31+C32)</f>
        <v/>
      </c>
      <c r="E32" s="121" t="str">
        <f>IF(C12&lt;15, "", B32-C32)</f>
        <v/>
      </c>
      <c r="G32" s="85"/>
      <c r="H32" s="85"/>
      <c r="I32" s="85"/>
      <c r="J32" s="85"/>
      <c r="K32" s="85"/>
    </row>
    <row r="33" spans="1:11">
      <c r="A33" s="120" t="str">
        <f>IF(C12&lt;16, "", A32+1)</f>
        <v/>
      </c>
      <c r="B33" s="121" t="str">
        <f>IF(C12&lt;16, "", E32)</f>
        <v/>
      </c>
      <c r="C33" s="121" t="str">
        <f>IF(C12&lt;16, "", E32*C13)</f>
        <v/>
      </c>
      <c r="D33" s="121" t="str">
        <f>IF(C12&lt;16, "", C18+C19+C20+C21+C22+C23+C24+C25+C26+C27+C28+C29+C30+C31+C32+C33)</f>
        <v/>
      </c>
      <c r="E33" s="121" t="str">
        <f>IF(C12&lt;16, "", B33-C33)</f>
        <v/>
      </c>
      <c r="G33" s="85"/>
      <c r="H33" s="85"/>
      <c r="I33" s="85"/>
      <c r="J33" s="85"/>
      <c r="K33" s="85"/>
    </row>
    <row r="34" spans="1:11">
      <c r="A34" s="120" t="str">
        <f>IF(C12&lt;17, "", A33+1)</f>
        <v/>
      </c>
      <c r="B34" s="121" t="str">
        <f>IF(C12&lt;17, "", E33)</f>
        <v/>
      </c>
      <c r="C34" s="121" t="str">
        <f>IF(C12&lt;17, "", E33*C13)</f>
        <v/>
      </c>
      <c r="D34" s="121" t="str">
        <f>IF(C12&lt;17, "", C18+C19+C20+C21+C22+C23+C24+C25+C26+C27+C28+C29+C30+C31+C32+C33+C34)</f>
        <v/>
      </c>
      <c r="E34" s="121" t="str">
        <f>IF(C12&lt;17, "", B34-C34)</f>
        <v/>
      </c>
      <c r="G34" s="85"/>
      <c r="H34" s="85"/>
      <c r="I34" s="85"/>
      <c r="J34" s="85"/>
      <c r="K34" s="85"/>
    </row>
    <row r="35" spans="1:11">
      <c r="A35" s="120" t="str">
        <f>IF(C12&lt;18, "", A34+1)</f>
        <v/>
      </c>
      <c r="B35" s="121" t="str">
        <f>IF(C12&lt;18, "", E34)</f>
        <v/>
      </c>
      <c r="C35" s="121" t="str">
        <f>IF(C12&lt;18, "", E34*C13)</f>
        <v/>
      </c>
      <c r="D35" s="121" t="str">
        <f>IF(C12&lt;18, "", C18+C19+C20+C21+C22+C23+C24+C25+C26+C27+C28+C29+C30+C31+C32+C33+C34+C35)</f>
        <v/>
      </c>
      <c r="E35" s="121" t="str">
        <f>IF(C12&lt;18, "", B35-C35)</f>
        <v/>
      </c>
      <c r="G35" s="85"/>
      <c r="H35" s="85"/>
      <c r="I35" s="85"/>
      <c r="J35" s="85"/>
      <c r="K35" s="85"/>
    </row>
    <row r="36" spans="1:11">
      <c r="A36" s="85"/>
      <c r="B36" s="120" t="str">
        <f>IF(C12&lt;19, "", A35+1)</f>
        <v/>
      </c>
      <c r="C36" s="121" t="str">
        <f>IF(C12&lt;19, "", E35)</f>
        <v/>
      </c>
      <c r="D36" s="121" t="str">
        <f>IF(C12&lt;19, "", E35*C13)</f>
        <v/>
      </c>
      <c r="E36" s="121" t="str">
        <f>IF(C12&lt;19, "", C18+C19+C20+C21+C22+C23+C24+C25+C26+C27+C28+C29+C30+C31+C32+C33+C34+C35+ D36)</f>
        <v/>
      </c>
      <c r="F36" s="121" t="str">
        <f>IF(C12&lt;19, "", C36-D36)</f>
        <v/>
      </c>
      <c r="G36" s="85"/>
      <c r="H36" s="85"/>
      <c r="I36" s="85"/>
      <c r="J36" s="85"/>
      <c r="K36" s="85"/>
    </row>
    <row r="37" spans="1:11">
      <c r="A37" s="85"/>
      <c r="B37" s="85" t="str">
        <f>IF(C12&lt;20, "", B36+1)</f>
        <v/>
      </c>
      <c r="C37" s="86" t="str">
        <f>IF(C12&lt;20, "", F36)</f>
        <v/>
      </c>
      <c r="D37" s="86" t="str">
        <f>IF(C12&lt;20, "", F36*C13)</f>
        <v/>
      </c>
      <c r="E37" s="86" t="str">
        <f>IF(C12&lt;20, "", C18+C19+C20+C21+C22+C23+C24+C25+C26+C27+C28+C29+C30+C31+C32+C33+C34+C35+D36+D37)</f>
        <v/>
      </c>
      <c r="F37" s="86" t="str">
        <f>IF(C12&lt;20, "", C37-D37)</f>
        <v/>
      </c>
      <c r="G37" s="85"/>
      <c r="H37" s="85"/>
      <c r="I37" s="85"/>
      <c r="J37" s="85"/>
      <c r="K37" s="85"/>
    </row>
    <row r="38" spans="1:11">
      <c r="C38" s="84"/>
      <c r="D38" s="84"/>
      <c r="E38" s="84"/>
      <c r="F38" s="84"/>
    </row>
    <row r="39" spans="1:11">
      <c r="C39" s="84"/>
      <c r="D39" s="84"/>
      <c r="E39" s="84"/>
      <c r="F39" s="84"/>
    </row>
    <row r="40" spans="1:11">
      <c r="C40" s="84"/>
      <c r="D40" s="84"/>
      <c r="E40" s="84"/>
      <c r="F40" s="84"/>
    </row>
    <row r="41" spans="1:11">
      <c r="C41" s="84"/>
      <c r="D41" s="84"/>
      <c r="E41" s="84"/>
      <c r="F41" s="84"/>
    </row>
    <row r="42" spans="1:11">
      <c r="C42" s="84"/>
      <c r="D42" s="84"/>
      <c r="E42" s="84"/>
      <c r="F42" s="84"/>
    </row>
    <row r="43" spans="1:11">
      <c r="C43" s="84"/>
      <c r="D43" s="84"/>
      <c r="E43" s="84"/>
      <c r="F43" s="84"/>
    </row>
  </sheetData>
  <mergeCells count="3">
    <mergeCell ref="A10:C10"/>
    <mergeCell ref="E6:K6"/>
    <mergeCell ref="A1:E1"/>
  </mergeCells>
  <conditionalFormatting sqref="B36:F37 A18:E35">
    <cfRule type="notContainsBlanks" dxfId="1" priority="1">
      <formula>LEN(TRIM(A18))&gt;0</formula>
    </cfRule>
    <cfRule type="notContainsBlanks" dxfId="0" priority="2">
      <formula>LEN(TRIM(A18))&gt;0</formula>
    </cfRule>
  </conditionalFormatting>
  <dataValidations count="2">
    <dataValidation type="list" allowBlank="1" showInputMessage="1" showErrorMessage="1" sqref="C6" xr:uid="{D42FA0DF-7D93-4FB3-B8EF-E2A2741842AE}">
      <formula1>INDIRECT(B5)</formula1>
    </dataValidation>
    <dataValidation type="list" allowBlank="1" showInputMessage="1" showErrorMessage="1" sqref="B6:B7" xr:uid="{D1ECF724-4345-4069-9354-2B96B75A5430}">
      <formula1>INDIRECT(B5)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E563B2-4FBF-4092-B4C0-CA5E799DC504}">
          <x14:formula1>
            <xm:f>'Data Sheet'!$E$12:$E$14</xm:f>
          </x14:formula1>
          <xm:sqref>B8</xm:sqref>
        </x14:dataValidation>
        <x14:dataValidation type="list" allowBlank="1" showInputMessage="1" showErrorMessage="1" xr:uid="{5BC62E9F-5B5D-4513-B6B1-0FAB53C1D221}">
          <x14:formula1>
            <xm:f>Lists!$A$2:$A$18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DBB5-98F4-4084-9F1E-021355979C79}">
  <dimension ref="A1:T18"/>
  <sheetViews>
    <sheetView workbookViewId="0">
      <pane xSplit="1" topLeftCell="D1" activePane="topRight" state="frozen"/>
      <selection pane="topRight" activeCell="O5" sqref="O5"/>
    </sheetView>
  </sheetViews>
  <sheetFormatPr defaultRowHeight="15"/>
  <cols>
    <col min="1" max="1" width="13.5703125" bestFit="1" customWidth="1"/>
    <col min="2" max="2" width="16" bestFit="1" customWidth="1"/>
    <col min="4" max="4" width="14.140625" bestFit="1" customWidth="1"/>
    <col min="5" max="5" width="14.42578125" bestFit="1" customWidth="1"/>
    <col min="6" max="6" width="16.42578125" bestFit="1" customWidth="1"/>
    <col min="7" max="7" width="10.42578125" customWidth="1"/>
    <col min="9" max="9" width="12.7109375" customWidth="1"/>
    <col min="10" max="10" width="13.85546875" customWidth="1"/>
    <col min="12" max="12" width="15.28515625" bestFit="1" customWidth="1"/>
    <col min="14" max="14" width="9.85546875" customWidth="1"/>
    <col min="16" max="16" width="14.140625" customWidth="1"/>
    <col min="17" max="17" width="11.7109375" customWidth="1"/>
  </cols>
  <sheetData>
    <row r="1" spans="1:20" s="133" customFormat="1" ht="15.75" thickBot="1">
      <c r="A1" s="82" t="s">
        <v>324</v>
      </c>
      <c r="B1" s="82" t="s">
        <v>288</v>
      </c>
      <c r="C1" s="133" t="s">
        <v>289</v>
      </c>
      <c r="D1" s="133" t="s">
        <v>290</v>
      </c>
      <c r="E1" s="133" t="s">
        <v>291</v>
      </c>
      <c r="F1" s="133" t="s">
        <v>292</v>
      </c>
      <c r="G1" s="133" t="s">
        <v>325</v>
      </c>
      <c r="H1" s="133" t="s">
        <v>293</v>
      </c>
      <c r="I1" s="133" t="s">
        <v>295</v>
      </c>
      <c r="J1" s="133" t="s">
        <v>314</v>
      </c>
      <c r="K1" s="133" t="s">
        <v>297</v>
      </c>
      <c r="L1" s="133" t="s">
        <v>298</v>
      </c>
      <c r="M1" s="133" t="s">
        <v>299</v>
      </c>
      <c r="N1" s="133" t="s">
        <v>300</v>
      </c>
      <c r="O1" s="133" t="s">
        <v>301</v>
      </c>
      <c r="P1" s="133" t="s">
        <v>393</v>
      </c>
      <c r="Q1" s="133" t="s">
        <v>303</v>
      </c>
      <c r="R1" s="133" t="s">
        <v>327</v>
      </c>
      <c r="T1" s="133" t="s">
        <v>330</v>
      </c>
    </row>
    <row r="2" spans="1:20" ht="15.75" thickBot="1">
      <c r="A2" s="81" t="s">
        <v>288</v>
      </c>
      <c r="B2" s="143" t="s">
        <v>346</v>
      </c>
      <c r="C2" s="138" t="s">
        <v>152</v>
      </c>
      <c r="D2" s="135" t="s">
        <v>354</v>
      </c>
      <c r="E2" s="13" t="s">
        <v>355</v>
      </c>
      <c r="F2" s="15" t="s">
        <v>365</v>
      </c>
      <c r="G2" s="13" t="s">
        <v>361</v>
      </c>
      <c r="H2" s="13" t="s">
        <v>371</v>
      </c>
      <c r="I2" s="135" t="s">
        <v>374</v>
      </c>
      <c r="J2" s="135" t="s">
        <v>375</v>
      </c>
      <c r="K2" s="13" t="s">
        <v>389</v>
      </c>
      <c r="L2" s="13" t="s">
        <v>378</v>
      </c>
      <c r="M2" s="13" t="s">
        <v>384</v>
      </c>
      <c r="N2" s="135" t="s">
        <v>326</v>
      </c>
      <c r="O2" s="13" t="s">
        <v>385</v>
      </c>
      <c r="P2" s="135" t="s">
        <v>387</v>
      </c>
      <c r="Q2" s="135" t="s">
        <v>391</v>
      </c>
      <c r="R2" s="166" t="s">
        <v>388</v>
      </c>
    </row>
    <row r="3" spans="1:20">
      <c r="A3" s="81" t="s">
        <v>289</v>
      </c>
      <c r="B3" s="138" t="s">
        <v>337</v>
      </c>
      <c r="C3" s="136" t="s">
        <v>396</v>
      </c>
      <c r="E3" s="15" t="s">
        <v>356</v>
      </c>
      <c r="F3" s="15" t="s">
        <v>366</v>
      </c>
      <c r="G3" s="15" t="s">
        <v>362</v>
      </c>
      <c r="H3" s="15" t="s">
        <v>372</v>
      </c>
      <c r="K3" s="38" t="s">
        <v>390</v>
      </c>
      <c r="L3" s="15" t="s">
        <v>379</v>
      </c>
      <c r="M3" s="15" t="s">
        <v>124</v>
      </c>
      <c r="O3" s="137" t="s">
        <v>386</v>
      </c>
    </row>
    <row r="4" spans="1:20">
      <c r="A4" s="81" t="s">
        <v>290</v>
      </c>
      <c r="B4" s="136" t="s">
        <v>347</v>
      </c>
      <c r="C4" s="136" t="s">
        <v>395</v>
      </c>
      <c r="E4" s="15" t="s">
        <v>357</v>
      </c>
      <c r="F4" s="137" t="s">
        <v>360</v>
      </c>
      <c r="G4" s="15" t="s">
        <v>367</v>
      </c>
      <c r="H4" s="137" t="s">
        <v>373</v>
      </c>
      <c r="K4" s="15" t="s">
        <v>376</v>
      </c>
      <c r="L4" s="15" t="s">
        <v>383</v>
      </c>
      <c r="M4" s="137" t="s">
        <v>126</v>
      </c>
      <c r="O4" s="137" t="s">
        <v>410</v>
      </c>
    </row>
    <row r="5" spans="1:20">
      <c r="A5" s="81" t="s">
        <v>291</v>
      </c>
      <c r="B5" s="151" t="s">
        <v>338</v>
      </c>
      <c r="C5" s="136" t="s">
        <v>394</v>
      </c>
      <c r="E5" s="15" t="s">
        <v>358</v>
      </c>
      <c r="G5" s="15" t="s">
        <v>368</v>
      </c>
      <c r="K5" s="40" t="s">
        <v>265</v>
      </c>
      <c r="L5" s="15" t="s">
        <v>380</v>
      </c>
    </row>
    <row r="6" spans="1:20">
      <c r="A6" s="81" t="s">
        <v>292</v>
      </c>
      <c r="B6" s="15" t="s">
        <v>339</v>
      </c>
      <c r="C6" s="165" t="s">
        <v>135</v>
      </c>
      <c r="E6" s="137" t="s">
        <v>359</v>
      </c>
      <c r="G6" s="15" t="s">
        <v>369</v>
      </c>
      <c r="K6" s="137" t="s">
        <v>377</v>
      </c>
      <c r="L6" s="15" t="s">
        <v>381</v>
      </c>
    </row>
    <row r="7" spans="1:20">
      <c r="A7" s="81" t="s">
        <v>325</v>
      </c>
      <c r="B7" s="139" t="s">
        <v>349</v>
      </c>
      <c r="G7" s="15" t="s">
        <v>370</v>
      </c>
      <c r="L7" s="137" t="s">
        <v>382</v>
      </c>
    </row>
    <row r="8" spans="1:20">
      <c r="A8" s="81" t="s">
        <v>293</v>
      </c>
      <c r="B8" s="139" t="s">
        <v>350</v>
      </c>
      <c r="G8" s="15" t="s">
        <v>363</v>
      </c>
    </row>
    <row r="9" spans="1:20">
      <c r="A9" s="81" t="s">
        <v>329</v>
      </c>
      <c r="B9" s="139" t="s">
        <v>352</v>
      </c>
      <c r="G9" s="137" t="s">
        <v>364</v>
      </c>
    </row>
    <row r="10" spans="1:20">
      <c r="A10" s="81" t="s">
        <v>296</v>
      </c>
      <c r="B10" s="139" t="s">
        <v>351</v>
      </c>
    </row>
    <row r="11" spans="1:20">
      <c r="A11" s="81" t="s">
        <v>297</v>
      </c>
      <c r="B11" s="153" t="s">
        <v>353</v>
      </c>
    </row>
    <row r="12" spans="1:20">
      <c r="A12" s="81" t="s">
        <v>298</v>
      </c>
      <c r="B12" s="81"/>
    </row>
    <row r="13" spans="1:20">
      <c r="A13" s="81" t="s">
        <v>299</v>
      </c>
      <c r="B13" s="81"/>
    </row>
    <row r="14" spans="1:20">
      <c r="A14" s="81" t="s">
        <v>300</v>
      </c>
      <c r="B14" s="81"/>
      <c r="E14" s="134"/>
    </row>
    <row r="15" spans="1:20">
      <c r="A15" s="81" t="s">
        <v>301</v>
      </c>
      <c r="B15" s="81"/>
      <c r="E15" s="134"/>
    </row>
    <row r="16" spans="1:20">
      <c r="A16" s="81" t="s">
        <v>393</v>
      </c>
      <c r="B16" s="81"/>
    </row>
    <row r="17" spans="1:2">
      <c r="A17" s="81" t="s">
        <v>303</v>
      </c>
      <c r="B17" s="81"/>
    </row>
    <row r="18" spans="1:2">
      <c r="A18" s="81" t="s">
        <v>304</v>
      </c>
      <c r="B18" s="81"/>
    </row>
  </sheetData>
  <pageMargins left="0.7" right="0.7" top="0.75" bottom="0.75" header="0.3" footer="0.3"/>
  <pageSetup orientation="landscape" horizontalDpi="1200" verticalDpi="1200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0CF8-4B37-4B44-AB11-C6D20C62DAC5}">
  <dimension ref="A1"/>
  <sheetViews>
    <sheetView workbookViewId="0">
      <selection activeCell="F14" sqref="F14"/>
    </sheetView>
  </sheetViews>
  <sheetFormatPr defaultRowHeight="15"/>
  <sheetData>
    <row r="1" spans="1:1">
      <c r="A1" s="15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57485-562F-4AFB-A21B-B212F6F0ABEE}">
  <dimension ref="A1:BF59"/>
  <sheetViews>
    <sheetView workbookViewId="0">
      <selection activeCell="BC2" sqref="BC2"/>
    </sheetView>
  </sheetViews>
  <sheetFormatPr defaultColWidth="4.140625" defaultRowHeight="15"/>
  <cols>
    <col min="1" max="1" width="16.42578125" bestFit="1" customWidth="1"/>
    <col min="2" max="3" width="13.7109375" bestFit="1" customWidth="1"/>
    <col min="4" max="4" width="23.28515625" bestFit="1" customWidth="1"/>
    <col min="5" max="5" width="84" bestFit="1" customWidth="1"/>
    <col min="6" max="6" width="15.42578125" bestFit="1" customWidth="1"/>
    <col min="7" max="7" width="50.140625" bestFit="1" customWidth="1"/>
    <col min="8" max="8" width="52.85546875" bestFit="1" customWidth="1"/>
    <col min="9" max="10" width="55" bestFit="1" customWidth="1"/>
    <col min="11" max="11" width="33.5703125" bestFit="1" customWidth="1"/>
    <col min="12" max="12" width="43.140625" bestFit="1" customWidth="1"/>
    <col min="13" max="13" width="38" bestFit="1" customWidth="1"/>
    <col min="14" max="14" width="10.7109375" customWidth="1"/>
    <col min="15" max="15" width="22.42578125" bestFit="1" customWidth="1"/>
    <col min="16" max="16" width="12.140625" bestFit="1" customWidth="1"/>
    <col min="17" max="17" width="27" bestFit="1" customWidth="1"/>
    <col min="18" max="18" width="12.140625" bestFit="1" customWidth="1"/>
    <col min="19" max="19" width="21.42578125" bestFit="1" customWidth="1"/>
    <col min="20" max="20" width="11.28515625" customWidth="1"/>
    <col min="21" max="21" width="12.85546875" bestFit="1" customWidth="1"/>
    <col min="22" max="22" width="9.28515625" customWidth="1"/>
    <col min="23" max="23" width="16.28515625" customWidth="1"/>
    <col min="24" max="24" width="18.5703125" customWidth="1"/>
    <col min="25" max="25" width="8.7109375" customWidth="1"/>
    <col min="26" max="26" width="9.5703125" customWidth="1"/>
    <col min="27" max="27" width="9.7109375" customWidth="1"/>
    <col min="28" max="28" width="14" bestFit="1" customWidth="1"/>
    <col min="29" max="29" width="16.140625" bestFit="1" customWidth="1"/>
    <col min="30" max="30" width="8.85546875" bestFit="1" customWidth="1"/>
    <col min="31" max="31" width="18" bestFit="1" customWidth="1"/>
    <col min="32" max="32" width="9.5703125" customWidth="1"/>
    <col min="33" max="33" width="10.42578125" bestFit="1" customWidth="1"/>
    <col min="34" max="36" width="8.85546875" bestFit="1" customWidth="1"/>
    <col min="37" max="37" width="48.5703125" bestFit="1" customWidth="1"/>
    <col min="38" max="38" width="94.7109375" bestFit="1" customWidth="1"/>
    <col min="39" max="39" width="63.7109375" bestFit="1" customWidth="1"/>
    <col min="40" max="40" width="15" bestFit="1" customWidth="1"/>
    <col min="41" max="41" width="10" bestFit="1" customWidth="1"/>
    <col min="42" max="42" width="9.42578125" customWidth="1"/>
    <col min="43" max="43" width="10.42578125" bestFit="1" customWidth="1"/>
    <col min="44" max="44" width="11.140625" customWidth="1"/>
    <col min="45" max="45" width="11" customWidth="1"/>
    <col min="46" max="46" width="33" bestFit="1" customWidth="1"/>
    <col min="47" max="47" width="10" customWidth="1"/>
    <col min="48" max="48" width="17.28515625" customWidth="1"/>
    <col min="49" max="49" width="16.42578125" bestFit="1" customWidth="1"/>
    <col min="50" max="50" width="12.28515625" bestFit="1" customWidth="1"/>
    <col min="51" max="51" width="14.42578125" bestFit="1" customWidth="1"/>
    <col min="52" max="52" width="7.7109375" bestFit="1" customWidth="1"/>
    <col min="53" max="53" width="21.42578125" bestFit="1" customWidth="1"/>
    <col min="54" max="54" width="12.28515625" bestFit="1" customWidth="1"/>
    <col min="55" max="55" width="12.28515625" customWidth="1"/>
    <col min="56" max="56" width="34.140625" bestFit="1" customWidth="1"/>
    <col min="57" max="57" width="60.7109375" bestFit="1" customWidth="1"/>
    <col min="58" max="58" width="8.85546875" bestFit="1" customWidth="1"/>
  </cols>
  <sheetData>
    <row r="1" spans="1:58" s="133" customFormat="1" ht="15.75" thickBot="1">
      <c r="A1" s="154" t="s">
        <v>340</v>
      </c>
      <c r="B1" s="161" t="s">
        <v>3</v>
      </c>
      <c r="C1" s="161" t="s">
        <v>337</v>
      </c>
      <c r="D1" s="161" t="s">
        <v>14</v>
      </c>
      <c r="E1" s="161" t="s">
        <v>338</v>
      </c>
      <c r="F1" s="161" t="s">
        <v>339</v>
      </c>
      <c r="G1" s="161" t="s">
        <v>348</v>
      </c>
      <c r="H1" s="161" t="s">
        <v>74</v>
      </c>
      <c r="I1" s="161" t="s">
        <v>118</v>
      </c>
      <c r="J1" s="161" t="s">
        <v>77</v>
      </c>
      <c r="K1" s="161" t="s">
        <v>184</v>
      </c>
      <c r="L1" s="161" t="s">
        <v>154</v>
      </c>
      <c r="M1" s="161" t="s">
        <v>79</v>
      </c>
      <c r="N1" s="161" t="s">
        <v>155</v>
      </c>
      <c r="O1" s="161" t="s">
        <v>394</v>
      </c>
      <c r="P1" s="162" t="s">
        <v>135</v>
      </c>
      <c r="Q1" s="161" t="s">
        <v>81</v>
      </c>
      <c r="R1" s="161" t="s">
        <v>82</v>
      </c>
      <c r="S1" s="161" t="s">
        <v>83</v>
      </c>
      <c r="T1" s="161" t="s">
        <v>84</v>
      </c>
      <c r="U1" s="161" t="s">
        <v>86</v>
      </c>
      <c r="V1" s="161" t="s">
        <v>85</v>
      </c>
      <c r="W1" s="161" t="s">
        <v>90</v>
      </c>
      <c r="X1" s="161" t="s">
        <v>88</v>
      </c>
      <c r="Y1" s="161" t="s">
        <v>89</v>
      </c>
      <c r="Z1" s="161" t="s">
        <v>96</v>
      </c>
      <c r="AA1" s="161" t="s">
        <v>97</v>
      </c>
      <c r="AB1" s="161" t="s">
        <v>91</v>
      </c>
      <c r="AC1" s="161" t="s">
        <v>94</v>
      </c>
      <c r="AD1" s="161" t="s">
        <v>95</v>
      </c>
      <c r="AE1" s="161" t="s">
        <v>93</v>
      </c>
      <c r="AF1" s="161" t="s">
        <v>98</v>
      </c>
      <c r="AG1" s="161" t="s">
        <v>92</v>
      </c>
      <c r="AH1" s="161" t="s">
        <v>232</v>
      </c>
      <c r="AI1" s="161" t="s">
        <v>233</v>
      </c>
      <c r="AJ1" s="161" t="s">
        <v>234</v>
      </c>
      <c r="AK1" s="161" t="s">
        <v>99</v>
      </c>
      <c r="AL1" s="161" t="s">
        <v>114</v>
      </c>
      <c r="AM1" s="161" t="s">
        <v>397</v>
      </c>
      <c r="AN1" s="161" t="s">
        <v>405</v>
      </c>
      <c r="AO1" s="161" t="s">
        <v>147</v>
      </c>
      <c r="AP1" s="163" t="s">
        <v>100</v>
      </c>
      <c r="AQ1" s="161" t="s">
        <v>377</v>
      </c>
      <c r="AR1" s="161" t="s">
        <v>191</v>
      </c>
      <c r="AS1" s="161" t="s">
        <v>111</v>
      </c>
      <c r="AT1" s="161" t="s">
        <v>102</v>
      </c>
      <c r="AU1" s="161" t="s">
        <v>192</v>
      </c>
      <c r="AV1" s="161" t="s">
        <v>193</v>
      </c>
      <c r="AW1" s="161" t="s">
        <v>196</v>
      </c>
      <c r="AX1" s="161" t="s">
        <v>124</v>
      </c>
      <c r="AY1" s="161" t="s">
        <v>126</v>
      </c>
      <c r="AZ1" s="161" t="s">
        <v>326</v>
      </c>
      <c r="BA1" s="161" t="s">
        <v>164</v>
      </c>
      <c r="BB1" s="161" t="s">
        <v>165</v>
      </c>
      <c r="BC1" s="161" t="s">
        <v>410</v>
      </c>
      <c r="BD1" s="161" t="s">
        <v>392</v>
      </c>
      <c r="BE1" s="161" t="s">
        <v>328</v>
      </c>
      <c r="BF1" s="161" t="s">
        <v>244</v>
      </c>
    </row>
    <row r="2" spans="1:58">
      <c r="A2" s="155" t="s">
        <v>3</v>
      </c>
      <c r="B2" s="164" t="s">
        <v>25</v>
      </c>
      <c r="C2" s="164" t="s">
        <v>25</v>
      </c>
      <c r="D2" s="164" t="s">
        <v>331</v>
      </c>
      <c r="E2" s="164" t="s">
        <v>333</v>
      </c>
      <c r="F2" s="164" t="s">
        <v>334</v>
      </c>
      <c r="G2" s="164" t="s">
        <v>66</v>
      </c>
      <c r="H2" s="164" t="s">
        <v>76</v>
      </c>
      <c r="I2" s="164" t="s">
        <v>73</v>
      </c>
      <c r="J2" s="164" t="s">
        <v>238</v>
      </c>
      <c r="K2" s="164" t="s">
        <v>201</v>
      </c>
      <c r="L2" s="157" t="s">
        <v>204</v>
      </c>
      <c r="M2" s="157" t="s">
        <v>47</v>
      </c>
      <c r="N2" s="164" t="s">
        <v>341</v>
      </c>
      <c r="O2" s="157" t="s">
        <v>207</v>
      </c>
      <c r="P2" s="155" t="s">
        <v>341</v>
      </c>
      <c r="Q2" s="156" t="s">
        <v>251</v>
      </c>
      <c r="R2" s="156" t="s">
        <v>35</v>
      </c>
      <c r="S2" s="156" t="s">
        <v>131</v>
      </c>
      <c r="T2" s="156" t="s">
        <v>341</v>
      </c>
      <c r="U2" s="156" t="s">
        <v>36</v>
      </c>
      <c r="V2" s="156" t="s">
        <v>341</v>
      </c>
      <c r="W2" s="156" t="s">
        <v>341</v>
      </c>
      <c r="X2" s="156" t="s">
        <v>36</v>
      </c>
      <c r="Y2" s="156" t="s">
        <v>341</v>
      </c>
      <c r="Z2" s="156" t="s">
        <v>246</v>
      </c>
      <c r="AA2" s="156" t="s">
        <v>246</v>
      </c>
      <c r="AB2" s="156" t="s">
        <v>37</v>
      </c>
      <c r="AC2" s="156" t="s">
        <v>39</v>
      </c>
      <c r="AD2" s="156" t="s">
        <v>246</v>
      </c>
      <c r="AE2" s="156" t="s">
        <v>29</v>
      </c>
      <c r="AF2" s="156" t="s">
        <v>246</v>
      </c>
      <c r="AG2" s="156" t="s">
        <v>178</v>
      </c>
      <c r="AH2" s="156" t="s">
        <v>246</v>
      </c>
      <c r="AI2" s="156" t="s">
        <v>246</v>
      </c>
      <c r="AJ2" s="156" t="s">
        <v>246</v>
      </c>
      <c r="AK2" s="159" t="s">
        <v>241</v>
      </c>
      <c r="AL2" s="13" t="s">
        <v>227</v>
      </c>
      <c r="AM2" s="156" t="s">
        <v>217</v>
      </c>
      <c r="AN2" s="156" t="s">
        <v>36</v>
      </c>
      <c r="AO2" s="156" t="s">
        <v>148</v>
      </c>
      <c r="AP2" s="156" t="s">
        <v>341</v>
      </c>
      <c r="AQ2" s="156" t="s">
        <v>345</v>
      </c>
      <c r="AR2" s="156" t="s">
        <v>190</v>
      </c>
      <c r="AS2" s="156" t="s">
        <v>202</v>
      </c>
      <c r="AT2" s="156" t="s">
        <v>214</v>
      </c>
      <c r="AU2" s="156" t="s">
        <v>123</v>
      </c>
      <c r="AV2" s="156" t="s">
        <v>123</v>
      </c>
      <c r="AW2" s="156" t="s">
        <v>198</v>
      </c>
      <c r="AX2" s="156" t="s">
        <v>125</v>
      </c>
      <c r="AY2" s="156" t="s">
        <v>125</v>
      </c>
      <c r="AZ2" s="156" t="s">
        <v>252</v>
      </c>
      <c r="BA2" s="156" t="s">
        <v>166</v>
      </c>
      <c r="BB2" s="156" t="s">
        <v>175</v>
      </c>
      <c r="BC2" s="156"/>
      <c r="BD2" s="156" t="s">
        <v>163</v>
      </c>
      <c r="BE2" s="156" t="s">
        <v>180</v>
      </c>
      <c r="BF2" s="156" t="s">
        <v>246</v>
      </c>
    </row>
    <row r="3" spans="1:58">
      <c r="A3" s="155" t="s">
        <v>337</v>
      </c>
      <c r="B3" s="156"/>
      <c r="C3" s="156"/>
      <c r="D3" s="164" t="s">
        <v>332</v>
      </c>
      <c r="E3" s="164" t="s">
        <v>239</v>
      </c>
      <c r="F3" s="156"/>
      <c r="G3" s="164" t="s">
        <v>67</v>
      </c>
      <c r="H3" s="164" t="s">
        <v>237</v>
      </c>
      <c r="I3" s="156"/>
      <c r="J3" s="164" t="s">
        <v>73</v>
      </c>
      <c r="K3" s="164" t="s">
        <v>335</v>
      </c>
      <c r="L3" s="157" t="s">
        <v>153</v>
      </c>
      <c r="M3" s="157" t="s">
        <v>46</v>
      </c>
      <c r="N3" s="156"/>
      <c r="O3" s="157" t="s">
        <v>206</v>
      </c>
      <c r="P3" s="155" t="s">
        <v>25</v>
      </c>
      <c r="Q3" s="156" t="s">
        <v>247</v>
      </c>
      <c r="R3" s="156" t="s">
        <v>25</v>
      </c>
      <c r="S3" s="156" t="s">
        <v>132</v>
      </c>
      <c r="T3" s="156"/>
      <c r="U3" s="156" t="s">
        <v>29</v>
      </c>
      <c r="V3" s="156"/>
      <c r="W3" s="156"/>
      <c r="X3" s="156" t="s">
        <v>29</v>
      </c>
      <c r="Y3" s="156"/>
      <c r="Z3" s="156"/>
      <c r="AA3" s="156"/>
      <c r="AB3" s="156"/>
      <c r="AC3" s="156" t="s">
        <v>38</v>
      </c>
      <c r="AD3" s="156"/>
      <c r="AE3" s="156" t="s">
        <v>36</v>
      </c>
      <c r="AF3" s="156"/>
      <c r="AG3" s="156"/>
      <c r="AH3" s="156"/>
      <c r="AI3" s="156"/>
      <c r="AJ3" s="156"/>
      <c r="AK3" s="159" t="s">
        <v>243</v>
      </c>
      <c r="AL3" s="38" t="s">
        <v>228</v>
      </c>
      <c r="AM3" s="156" t="s">
        <v>219</v>
      </c>
      <c r="AN3" s="156" t="s">
        <v>29</v>
      </c>
      <c r="AO3" s="156" t="s">
        <v>149</v>
      </c>
      <c r="AP3" s="156"/>
      <c r="AQ3" s="156"/>
      <c r="AR3" s="156" t="s">
        <v>189</v>
      </c>
      <c r="AS3" s="156"/>
      <c r="AT3" s="156" t="s">
        <v>121</v>
      </c>
      <c r="AU3" s="156"/>
      <c r="AV3" s="156"/>
      <c r="AW3" s="156" t="s">
        <v>197</v>
      </c>
      <c r="AX3" s="156"/>
      <c r="AY3" s="156" t="s">
        <v>127</v>
      </c>
      <c r="AZ3" s="156" t="s">
        <v>253</v>
      </c>
      <c r="BA3" s="156" t="s">
        <v>213</v>
      </c>
      <c r="BB3" s="156" t="s">
        <v>341</v>
      </c>
      <c r="BC3" s="156"/>
      <c r="BD3" s="156" t="s">
        <v>162</v>
      </c>
      <c r="BE3" s="156" t="s">
        <v>181</v>
      </c>
      <c r="BF3" s="156"/>
    </row>
    <row r="4" spans="1:58">
      <c r="A4" s="155" t="s">
        <v>14</v>
      </c>
      <c r="B4" s="156"/>
      <c r="C4" s="156"/>
      <c r="D4" s="164" t="s">
        <v>158</v>
      </c>
      <c r="E4" s="164" t="s">
        <v>169</v>
      </c>
      <c r="F4" s="156"/>
      <c r="G4" s="156"/>
      <c r="H4" s="156"/>
      <c r="I4" s="156"/>
      <c r="J4" s="156"/>
      <c r="K4" s="156"/>
      <c r="L4" s="157" t="s">
        <v>174</v>
      </c>
      <c r="M4" s="157" t="s">
        <v>25</v>
      </c>
      <c r="N4" s="156"/>
      <c r="O4" s="156"/>
      <c r="P4" s="156"/>
      <c r="Q4" s="156" t="s">
        <v>250</v>
      </c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 t="s">
        <v>342</v>
      </c>
      <c r="AD4" s="156"/>
      <c r="AE4" s="156" t="s">
        <v>344</v>
      </c>
      <c r="AF4" s="156"/>
      <c r="AG4" s="156"/>
      <c r="AH4" s="156"/>
      <c r="AI4" s="156"/>
      <c r="AJ4" s="156"/>
      <c r="AK4" s="40" t="s">
        <v>242</v>
      </c>
      <c r="AL4" s="38" t="s">
        <v>229</v>
      </c>
      <c r="AM4" s="156" t="s">
        <v>218</v>
      </c>
      <c r="AN4" s="156"/>
      <c r="AO4" s="156"/>
      <c r="AP4" s="156"/>
      <c r="AQ4" s="156"/>
      <c r="AR4" s="156"/>
      <c r="AS4" s="156"/>
      <c r="AT4" s="156" t="s">
        <v>188</v>
      </c>
      <c r="AU4" s="156"/>
      <c r="AV4" s="156"/>
      <c r="AW4" s="156"/>
      <c r="AX4" s="156"/>
      <c r="AY4" s="156"/>
      <c r="AZ4" s="156"/>
      <c r="BA4" s="156" t="s">
        <v>212</v>
      </c>
      <c r="BB4" s="156"/>
      <c r="BC4" s="156"/>
      <c r="BD4" s="156"/>
      <c r="BE4" s="156" t="s">
        <v>181</v>
      </c>
      <c r="BF4" s="156"/>
    </row>
    <row r="5" spans="1:58">
      <c r="A5" s="155" t="s">
        <v>338</v>
      </c>
      <c r="B5" s="156"/>
      <c r="C5" s="156"/>
      <c r="D5" s="156"/>
      <c r="E5" s="164" t="s">
        <v>170</v>
      </c>
      <c r="F5" s="156"/>
      <c r="G5" s="156"/>
      <c r="H5" s="156"/>
      <c r="I5" s="156"/>
      <c r="J5" s="156"/>
      <c r="K5" s="156"/>
      <c r="L5" s="157" t="s">
        <v>159</v>
      </c>
      <c r="M5" s="157" t="s">
        <v>49</v>
      </c>
      <c r="N5" s="156"/>
      <c r="O5" s="156"/>
      <c r="P5" s="156"/>
      <c r="Q5" s="156" t="s">
        <v>249</v>
      </c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 t="s">
        <v>343</v>
      </c>
      <c r="AD5" s="156"/>
      <c r="AE5" s="156"/>
      <c r="AF5" s="156"/>
      <c r="AG5" s="156"/>
      <c r="AH5" s="156"/>
      <c r="AI5" s="156"/>
      <c r="AJ5" s="156"/>
      <c r="AK5" s="40" t="s">
        <v>226</v>
      </c>
      <c r="AL5" s="38" t="s">
        <v>231</v>
      </c>
      <c r="AM5" s="156" t="s">
        <v>223</v>
      </c>
      <c r="AN5" s="156"/>
      <c r="AO5" s="156"/>
      <c r="AP5" s="156"/>
      <c r="AQ5" s="156"/>
      <c r="AR5" s="156"/>
      <c r="AS5" s="156"/>
      <c r="AT5" s="156" t="s">
        <v>104</v>
      </c>
      <c r="AU5" s="156"/>
      <c r="AV5" s="156"/>
      <c r="AW5" s="156"/>
      <c r="AX5" s="156"/>
      <c r="AY5" s="156"/>
      <c r="AZ5" s="156"/>
      <c r="BA5" s="15" t="s">
        <v>167</v>
      </c>
      <c r="BB5" s="156"/>
      <c r="BC5" s="156"/>
      <c r="BD5" s="156"/>
      <c r="BE5" s="156" t="s">
        <v>185</v>
      </c>
      <c r="BF5" s="156"/>
    </row>
    <row r="6" spans="1:58">
      <c r="A6" s="156" t="s">
        <v>339</v>
      </c>
      <c r="B6" s="156"/>
      <c r="C6" s="156"/>
      <c r="D6" s="156"/>
      <c r="E6" s="164" t="s">
        <v>172</v>
      </c>
      <c r="F6" s="156"/>
      <c r="G6" s="156"/>
      <c r="H6" s="156"/>
      <c r="I6" s="156"/>
      <c r="J6" s="156"/>
      <c r="K6" s="156"/>
      <c r="L6" s="156"/>
      <c r="M6" s="157" t="s">
        <v>48</v>
      </c>
      <c r="N6" s="156"/>
      <c r="O6" s="156"/>
      <c r="P6" s="156"/>
      <c r="Q6" s="15" t="s">
        <v>194</v>
      </c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40" t="s">
        <v>138</v>
      </c>
      <c r="AL6" s="38" t="s">
        <v>230</v>
      </c>
      <c r="AM6" s="156" t="s">
        <v>222</v>
      </c>
      <c r="AN6" s="156"/>
      <c r="AO6" s="156"/>
      <c r="AP6" s="156"/>
      <c r="AQ6" s="156"/>
      <c r="AR6" s="156"/>
      <c r="AS6" s="156"/>
      <c r="AT6" s="15" t="s">
        <v>188</v>
      </c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 t="s">
        <v>185</v>
      </c>
      <c r="BF6" s="156"/>
    </row>
    <row r="7" spans="1:58">
      <c r="A7" s="156" t="s">
        <v>78</v>
      </c>
      <c r="B7" s="156"/>
      <c r="C7" s="156"/>
      <c r="D7" s="156"/>
      <c r="E7" s="164" t="s">
        <v>171</v>
      </c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" t="s">
        <v>203</v>
      </c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40" t="s">
        <v>141</v>
      </c>
      <c r="AL7" s="15" t="s">
        <v>116</v>
      </c>
      <c r="AM7" s="156" t="s">
        <v>225</v>
      </c>
      <c r="AN7" s="156"/>
      <c r="AO7" s="156"/>
      <c r="AP7" s="156"/>
      <c r="AQ7" s="156"/>
      <c r="AR7" s="156"/>
      <c r="AS7" s="156"/>
      <c r="AT7" s="15" t="s">
        <v>177</v>
      </c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 t="s">
        <v>186</v>
      </c>
      <c r="BF7" s="156"/>
    </row>
    <row r="8" spans="1:58">
      <c r="A8" s="156" t="s">
        <v>74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" t="s">
        <v>195</v>
      </c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40" t="s">
        <v>136</v>
      </c>
      <c r="AL8" s="15" t="s">
        <v>115</v>
      </c>
      <c r="AM8" s="156" t="s">
        <v>224</v>
      </c>
      <c r="AN8" s="156"/>
      <c r="AO8" s="156"/>
      <c r="AP8" s="156"/>
      <c r="AQ8" s="156"/>
      <c r="AR8" s="156"/>
      <c r="AS8" s="156"/>
      <c r="AT8" s="15" t="s">
        <v>121</v>
      </c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 t="s">
        <v>186</v>
      </c>
      <c r="BF8" s="156"/>
    </row>
    <row r="9" spans="1:58">
      <c r="A9" s="156" t="s">
        <v>118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" t="s">
        <v>200</v>
      </c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40" t="s">
        <v>142</v>
      </c>
      <c r="AL9" s="15" t="s">
        <v>117</v>
      </c>
      <c r="AM9" s="156" t="s">
        <v>221</v>
      </c>
      <c r="AN9" s="156"/>
      <c r="AO9" s="156"/>
      <c r="AP9" s="156"/>
      <c r="AQ9" s="156"/>
      <c r="AR9" s="156"/>
      <c r="AS9" s="156"/>
      <c r="AT9" s="15" t="s">
        <v>104</v>
      </c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</row>
    <row r="10" spans="1:58">
      <c r="A10" s="156" t="s">
        <v>77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" t="s">
        <v>199</v>
      </c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40" t="s">
        <v>137</v>
      </c>
      <c r="AL10" s="15" t="s">
        <v>116</v>
      </c>
      <c r="AM10" s="156" t="s">
        <v>220</v>
      </c>
      <c r="AN10" s="156"/>
      <c r="AO10" s="156"/>
      <c r="AP10" s="156"/>
      <c r="AQ10" s="156"/>
      <c r="AR10" s="156"/>
      <c r="AS10" s="156"/>
      <c r="AT10" s="15" t="s">
        <v>103</v>
      </c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</row>
    <row r="11" spans="1:58">
      <c r="A11" s="156" t="s">
        <v>184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" t="s">
        <v>248</v>
      </c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40" t="s">
        <v>138</v>
      </c>
      <c r="AL11" s="156"/>
      <c r="AM11" s="156"/>
      <c r="AN11" s="156"/>
      <c r="AO11" s="156"/>
      <c r="AP11" s="156"/>
      <c r="AQ11" s="156"/>
      <c r="AR11" s="156"/>
      <c r="AS11" s="156"/>
      <c r="AT11" s="15" t="s">
        <v>105</v>
      </c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</row>
    <row r="12" spans="1:58">
      <c r="A12" s="157" t="s">
        <v>154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" t="s">
        <v>25</v>
      </c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40" t="s">
        <v>40</v>
      </c>
      <c r="AL12" s="156"/>
      <c r="AM12" s="156"/>
      <c r="AN12" s="156"/>
      <c r="AO12" s="156"/>
      <c r="AP12" s="156"/>
      <c r="AQ12" s="156"/>
      <c r="AR12" s="156"/>
      <c r="AS12" s="156"/>
      <c r="AT12" s="15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</row>
    <row r="13" spans="1:58">
      <c r="A13" s="157" t="s">
        <v>79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" t="s">
        <v>51</v>
      </c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40" t="s">
        <v>41</v>
      </c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</row>
    <row r="14" spans="1:58">
      <c r="A14" s="157" t="s">
        <v>155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40" t="s">
        <v>43</v>
      </c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</row>
    <row r="15" spans="1:58">
      <c r="A15" s="157" t="s">
        <v>80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40" t="s">
        <v>44</v>
      </c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</row>
    <row r="16" spans="1:58">
      <c r="A16" s="158" t="s">
        <v>135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40" t="s">
        <v>42</v>
      </c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</row>
    <row r="17" spans="1:58">
      <c r="A17" s="156" t="s">
        <v>81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40" t="s">
        <v>42</v>
      </c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</row>
    <row r="18" spans="1:58">
      <c r="A18" s="156" t="s">
        <v>82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9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</row>
    <row r="19" spans="1:58">
      <c r="A19" s="156" t="s">
        <v>83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9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</row>
    <row r="20" spans="1:58">
      <c r="A20" s="156" t="s">
        <v>84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9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</row>
    <row r="21" spans="1:58">
      <c r="A21" s="156" t="s">
        <v>86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9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</row>
    <row r="22" spans="1:58">
      <c r="A22" s="156" t="s">
        <v>85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</row>
    <row r="23" spans="1:58">
      <c r="A23" s="156" t="s">
        <v>90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</row>
    <row r="24" spans="1:58">
      <c r="A24" s="156" t="s">
        <v>88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</row>
    <row r="25" spans="1:58">
      <c r="A25" s="156" t="s">
        <v>89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</row>
    <row r="26" spans="1:58">
      <c r="A26" s="156" t="s">
        <v>96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</row>
    <row r="27" spans="1:58">
      <c r="A27" s="156" t="s">
        <v>97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</row>
    <row r="28" spans="1:58">
      <c r="A28" s="156" t="s">
        <v>91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</row>
    <row r="29" spans="1:58">
      <c r="A29" s="156" t="s">
        <v>94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</row>
    <row r="30" spans="1:58">
      <c r="A30" s="156" t="s">
        <v>95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</row>
    <row r="31" spans="1:58">
      <c r="A31" s="156" t="s">
        <v>93</v>
      </c>
    </row>
    <row r="32" spans="1:58">
      <c r="A32" s="156" t="s">
        <v>98</v>
      </c>
    </row>
    <row r="33" spans="1:1">
      <c r="A33" s="156" t="s">
        <v>92</v>
      </c>
    </row>
    <row r="34" spans="1:1">
      <c r="A34" s="156" t="s">
        <v>232</v>
      </c>
    </row>
    <row r="35" spans="1:1">
      <c r="A35" s="156" t="s">
        <v>233</v>
      </c>
    </row>
    <row r="36" spans="1:1">
      <c r="A36" s="156" t="s">
        <v>234</v>
      </c>
    </row>
    <row r="37" spans="1:1">
      <c r="A37" s="156" t="s">
        <v>99</v>
      </c>
    </row>
    <row r="38" spans="1:1">
      <c r="A38" s="156" t="s">
        <v>114</v>
      </c>
    </row>
    <row r="39" spans="1:1">
      <c r="A39" s="156" t="s">
        <v>101</v>
      </c>
    </row>
    <row r="40" spans="1:1">
      <c r="A40" s="156" t="s">
        <v>215</v>
      </c>
    </row>
    <row r="41" spans="1:1">
      <c r="A41" s="156" t="s">
        <v>147</v>
      </c>
    </row>
    <row r="42" spans="1:1">
      <c r="A42" s="159" t="s">
        <v>100</v>
      </c>
    </row>
    <row r="43" spans="1:1">
      <c r="A43" s="156" t="s">
        <v>208</v>
      </c>
    </row>
    <row r="44" spans="1:1">
      <c r="A44" s="156" t="s">
        <v>191</v>
      </c>
    </row>
    <row r="45" spans="1:1">
      <c r="A45" s="156" t="s">
        <v>111</v>
      </c>
    </row>
    <row r="46" spans="1:1">
      <c r="A46" s="156" t="s">
        <v>102</v>
      </c>
    </row>
    <row r="47" spans="1:1">
      <c r="A47" s="156" t="s">
        <v>192</v>
      </c>
    </row>
    <row r="48" spans="1:1">
      <c r="A48" s="156" t="s">
        <v>193</v>
      </c>
    </row>
    <row r="49" spans="1:1">
      <c r="A49" s="156" t="s">
        <v>196</v>
      </c>
    </row>
    <row r="50" spans="1:1">
      <c r="A50" s="156" t="s">
        <v>124</v>
      </c>
    </row>
    <row r="51" spans="1:1">
      <c r="A51" s="156" t="s">
        <v>126</v>
      </c>
    </row>
    <row r="52" spans="1:1">
      <c r="A52" s="156" t="s">
        <v>326</v>
      </c>
    </row>
    <row r="53" spans="1:1">
      <c r="A53" s="156" t="s">
        <v>164</v>
      </c>
    </row>
    <row r="54" spans="1:1">
      <c r="A54" s="156" t="s">
        <v>165</v>
      </c>
    </row>
    <row r="55" spans="1:1">
      <c r="A55" s="156" t="s">
        <v>161</v>
      </c>
    </row>
    <row r="56" spans="1:1">
      <c r="A56" s="156" t="s">
        <v>328</v>
      </c>
    </row>
    <row r="57" spans="1:1">
      <c r="A57" s="156" t="s">
        <v>410</v>
      </c>
    </row>
    <row r="58" spans="1:1">
      <c r="A58" s="160" t="s">
        <v>244</v>
      </c>
    </row>
    <row r="59" spans="1:1">
      <c r="A59" s="160"/>
    </row>
  </sheetData>
  <pageMargins left="0.7" right="0.7" top="0.75" bottom="0.75" header="0.3" footer="0.3"/>
  <tableParts count="5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workbookViewId="0">
      <pane ySplit="2" topLeftCell="A4" activePane="bottomLeft" state="frozen"/>
      <selection pane="bottomLeft" activeCell="C21" sqref="C21"/>
    </sheetView>
  </sheetViews>
  <sheetFormatPr defaultRowHeight="15"/>
  <cols>
    <col min="1" max="1" width="18" style="2" bestFit="1" customWidth="1"/>
    <col min="2" max="2" width="5" style="35" bestFit="1" customWidth="1"/>
    <col min="3" max="3" width="20" style="5" bestFit="1" customWidth="1"/>
    <col min="4" max="4" width="19.85546875" style="5" bestFit="1" customWidth="1"/>
    <col min="5" max="5" width="19.7109375" style="45" bestFit="1" customWidth="1"/>
    <col min="6" max="6" width="84" style="3" bestFit="1" customWidth="1"/>
    <col min="7" max="7" width="13.28515625" bestFit="1" customWidth="1"/>
    <col min="8" max="8" width="13.85546875" bestFit="1" customWidth="1"/>
  </cols>
  <sheetData>
    <row r="1" spans="1:6" ht="15.75" thickBot="1">
      <c r="A1" s="42" t="s">
        <v>313</v>
      </c>
      <c r="B1" s="90"/>
      <c r="C1" s="91"/>
      <c r="D1" s="91"/>
      <c r="E1" s="92"/>
      <c r="F1" s="93"/>
    </row>
    <row r="2" spans="1:6" s="7" customFormat="1" ht="15.75" thickBot="1">
      <c r="A2" s="27" t="s">
        <v>2</v>
      </c>
      <c r="B2" s="32" t="s">
        <v>0</v>
      </c>
      <c r="C2" s="28" t="s">
        <v>32</v>
      </c>
      <c r="D2" s="28" t="s">
        <v>33</v>
      </c>
      <c r="E2" s="28" t="s">
        <v>34</v>
      </c>
      <c r="F2" s="28" t="s">
        <v>1</v>
      </c>
    </row>
    <row r="3" spans="1:6" s="7" customFormat="1" ht="15.75" thickBot="1">
      <c r="A3" s="94"/>
      <c r="B3" s="95"/>
      <c r="C3" s="96"/>
      <c r="D3" s="96"/>
      <c r="E3" s="96"/>
      <c r="F3" s="96"/>
    </row>
    <row r="4" spans="1:6" s="7" customFormat="1">
      <c r="A4" s="143" t="s">
        <v>187</v>
      </c>
      <c r="B4" s="144">
        <v>2018</v>
      </c>
      <c r="C4" s="145">
        <v>165000</v>
      </c>
      <c r="D4" s="146">
        <v>130621.06</v>
      </c>
      <c r="E4" s="146">
        <v>116107.61</v>
      </c>
      <c r="F4" s="142" t="s">
        <v>25</v>
      </c>
    </row>
    <row r="5" spans="1:6" hidden="1">
      <c r="A5" s="138" t="s">
        <v>187</v>
      </c>
      <c r="B5" s="147">
        <v>2016</v>
      </c>
      <c r="C5" s="148">
        <v>165000</v>
      </c>
      <c r="D5" s="148"/>
      <c r="E5" s="148"/>
      <c r="F5" s="142" t="s">
        <v>331</v>
      </c>
    </row>
    <row r="6" spans="1:6" hidden="1">
      <c r="A6" s="136" t="s">
        <v>60</v>
      </c>
      <c r="B6" s="149">
        <v>2013</v>
      </c>
      <c r="C6" s="150">
        <v>159000</v>
      </c>
      <c r="D6" s="150">
        <v>123267.74</v>
      </c>
      <c r="E6" s="150">
        <v>109000</v>
      </c>
      <c r="F6" s="142" t="s">
        <v>331</v>
      </c>
    </row>
    <row r="7" spans="1:6">
      <c r="A7" s="151" t="s">
        <v>173</v>
      </c>
      <c r="B7" s="152">
        <v>2018</v>
      </c>
      <c r="C7" s="146">
        <v>155500</v>
      </c>
      <c r="D7" s="146">
        <v>119000</v>
      </c>
      <c r="E7" s="146">
        <v>105777.78</v>
      </c>
      <c r="F7" s="142" t="s">
        <v>25</v>
      </c>
    </row>
    <row r="8" spans="1:6" hidden="1">
      <c r="A8" s="15" t="s">
        <v>173</v>
      </c>
      <c r="B8" s="34">
        <v>2017</v>
      </c>
      <c r="C8" s="30">
        <v>143000</v>
      </c>
      <c r="D8" s="30">
        <v>108675</v>
      </c>
      <c r="E8" s="30">
        <v>96600</v>
      </c>
      <c r="F8" s="142" t="s">
        <v>331</v>
      </c>
    </row>
    <row r="9" spans="1:6" hidden="1">
      <c r="A9" s="15" t="s">
        <v>173</v>
      </c>
      <c r="B9" s="34">
        <v>2017</v>
      </c>
      <c r="C9" s="30">
        <v>165500</v>
      </c>
      <c r="D9" s="30"/>
      <c r="E9" s="30"/>
      <c r="F9" s="142" t="s">
        <v>331</v>
      </c>
    </row>
    <row r="10" spans="1:6" hidden="1">
      <c r="A10" s="15" t="s">
        <v>173</v>
      </c>
      <c r="B10" s="34">
        <v>2016</v>
      </c>
      <c r="C10" s="30">
        <v>155000</v>
      </c>
      <c r="D10" s="30"/>
      <c r="E10" s="30"/>
      <c r="F10" s="142" t="s">
        <v>331</v>
      </c>
    </row>
    <row r="11" spans="1:6" hidden="1">
      <c r="A11" s="15" t="s">
        <v>173</v>
      </c>
      <c r="B11" s="34">
        <v>2013</v>
      </c>
      <c r="C11" s="30">
        <v>145000</v>
      </c>
      <c r="D11" s="30"/>
      <c r="E11" s="30"/>
      <c r="F11" s="142" t="s">
        <v>331</v>
      </c>
    </row>
    <row r="12" spans="1:6">
      <c r="A12" s="139" t="s">
        <v>59</v>
      </c>
      <c r="B12" s="140">
        <v>2018</v>
      </c>
      <c r="C12" s="141">
        <v>96000</v>
      </c>
      <c r="D12" s="141">
        <v>89860.49</v>
      </c>
      <c r="E12" s="141">
        <v>79875.990000000005</v>
      </c>
      <c r="F12" s="142" t="s">
        <v>331</v>
      </c>
    </row>
    <row r="13" spans="1:6">
      <c r="A13" s="139" t="s">
        <v>59</v>
      </c>
      <c r="B13" s="140">
        <v>2018</v>
      </c>
      <c r="C13" s="141">
        <v>80000</v>
      </c>
      <c r="D13" s="141">
        <v>74893.38</v>
      </c>
      <c r="E13" s="141">
        <v>66571.89</v>
      </c>
      <c r="F13" s="142" t="s">
        <v>332</v>
      </c>
    </row>
    <row r="14" spans="1:6">
      <c r="A14" s="139" t="s">
        <v>59</v>
      </c>
      <c r="B14" s="140">
        <v>2018</v>
      </c>
      <c r="C14" s="141">
        <v>83500</v>
      </c>
      <c r="D14" s="141">
        <v>78270.81</v>
      </c>
      <c r="E14" s="141">
        <v>69574.05</v>
      </c>
      <c r="F14" s="142" t="s">
        <v>158</v>
      </c>
    </row>
    <row r="15" spans="1:6" hidden="1">
      <c r="A15" s="15" t="s">
        <v>59</v>
      </c>
      <c r="B15" s="34">
        <v>2016</v>
      </c>
      <c r="C15" s="30">
        <v>83500</v>
      </c>
      <c r="D15" s="17"/>
      <c r="E15" s="30"/>
      <c r="F15" s="18" t="s">
        <v>158</v>
      </c>
    </row>
    <row r="16" spans="1:6" hidden="1">
      <c r="A16" s="15" t="s">
        <v>59</v>
      </c>
      <c r="B16" s="34">
        <v>2015</v>
      </c>
      <c r="C16" s="30">
        <v>96000</v>
      </c>
      <c r="D16" s="17"/>
      <c r="E16" s="30"/>
      <c r="F16" s="18"/>
    </row>
    <row r="17" spans="1:8" hidden="1">
      <c r="A17" s="15" t="s">
        <v>59</v>
      </c>
      <c r="B17" s="34">
        <v>2013</v>
      </c>
      <c r="C17" s="30">
        <v>76294.559999999998</v>
      </c>
      <c r="D17" s="30">
        <v>71415.87</v>
      </c>
      <c r="E17" s="30">
        <v>63480.77</v>
      </c>
      <c r="F17" s="18" t="s">
        <v>62</v>
      </c>
    </row>
    <row r="18" spans="1:8" hidden="1">
      <c r="A18" s="15" t="s">
        <v>59</v>
      </c>
      <c r="B18" s="34">
        <v>2013</v>
      </c>
      <c r="C18" s="30">
        <v>83500</v>
      </c>
      <c r="D18" s="30">
        <v>78605.440000000002</v>
      </c>
      <c r="E18" s="30">
        <v>69871.5</v>
      </c>
      <c r="F18" s="18" t="s">
        <v>63</v>
      </c>
    </row>
    <row r="19" spans="1:8" hidden="1">
      <c r="A19" s="15" t="s">
        <v>59</v>
      </c>
      <c r="B19" s="34">
        <v>2013</v>
      </c>
      <c r="C19" s="30">
        <v>94500</v>
      </c>
      <c r="D19" s="30">
        <v>88100</v>
      </c>
      <c r="E19" s="30">
        <v>78311.11</v>
      </c>
      <c r="F19" s="18" t="s">
        <v>61</v>
      </c>
    </row>
    <row r="20" spans="1:8" hidden="1">
      <c r="A20" s="15" t="s">
        <v>59</v>
      </c>
      <c r="B20" s="34">
        <v>2013</v>
      </c>
      <c r="C20" s="30">
        <v>86000</v>
      </c>
      <c r="D20" s="30">
        <v>80200</v>
      </c>
      <c r="E20" s="30">
        <v>71288.88</v>
      </c>
      <c r="F20" s="18" t="s">
        <v>64</v>
      </c>
      <c r="G20" s="9"/>
      <c r="H20" s="8"/>
    </row>
    <row r="21" spans="1:8">
      <c r="A21" s="139" t="s">
        <v>122</v>
      </c>
      <c r="B21" s="140">
        <v>2018</v>
      </c>
      <c r="C21" s="141">
        <v>77500</v>
      </c>
      <c r="D21" s="141">
        <v>72300</v>
      </c>
      <c r="E21" s="141">
        <v>64266.67</v>
      </c>
      <c r="F21" s="142" t="s">
        <v>333</v>
      </c>
    </row>
    <row r="22" spans="1:8">
      <c r="A22" s="139" t="s">
        <v>122</v>
      </c>
      <c r="B22" s="140">
        <v>2018</v>
      </c>
      <c r="C22" s="141">
        <v>71500</v>
      </c>
      <c r="D22" s="141">
        <v>67000</v>
      </c>
      <c r="E22" s="141">
        <v>59555</v>
      </c>
      <c r="F22" s="142" t="s">
        <v>239</v>
      </c>
    </row>
    <row r="23" spans="1:8">
      <c r="A23" s="139" t="s">
        <v>122</v>
      </c>
      <c r="B23" s="140">
        <v>2018</v>
      </c>
      <c r="C23" s="141">
        <v>98500</v>
      </c>
      <c r="D23" s="141">
        <v>92000</v>
      </c>
      <c r="E23" s="141">
        <v>81777.78</v>
      </c>
      <c r="F23" s="142" t="s">
        <v>169</v>
      </c>
    </row>
    <row r="24" spans="1:8">
      <c r="A24" s="139" t="s">
        <v>122</v>
      </c>
      <c r="B24" s="140">
        <v>2018</v>
      </c>
      <c r="C24" s="141">
        <v>94000</v>
      </c>
      <c r="D24" s="141">
        <v>87800</v>
      </c>
      <c r="E24" s="141">
        <v>78044.44</v>
      </c>
      <c r="F24" s="142" t="s">
        <v>170</v>
      </c>
    </row>
    <row r="25" spans="1:8">
      <c r="A25" s="139" t="s">
        <v>122</v>
      </c>
      <c r="B25" s="140">
        <v>2018</v>
      </c>
      <c r="C25" s="141">
        <v>92000</v>
      </c>
      <c r="D25" s="141">
        <v>86200</v>
      </c>
      <c r="E25" s="141">
        <v>76622.22</v>
      </c>
      <c r="F25" s="142" t="s">
        <v>172</v>
      </c>
    </row>
    <row r="26" spans="1:8">
      <c r="A26" s="139" t="s">
        <v>122</v>
      </c>
      <c r="B26" s="140">
        <v>2018</v>
      </c>
      <c r="C26" s="141">
        <v>95000</v>
      </c>
      <c r="D26" s="141">
        <v>88700</v>
      </c>
      <c r="E26" s="141">
        <v>78844.44</v>
      </c>
      <c r="F26" s="142" t="s">
        <v>171</v>
      </c>
    </row>
    <row r="27" spans="1:8" hidden="1">
      <c r="A27" s="15" t="s">
        <v>122</v>
      </c>
      <c r="B27" s="34">
        <v>2016</v>
      </c>
      <c r="C27" s="30">
        <v>71500</v>
      </c>
      <c r="D27" s="141">
        <v>88700</v>
      </c>
      <c r="E27" s="30"/>
      <c r="F27" s="18" t="s">
        <v>205</v>
      </c>
    </row>
    <row r="28" spans="1:8" hidden="1">
      <c r="A28" s="15" t="s">
        <v>122</v>
      </c>
      <c r="B28" s="34">
        <v>2016</v>
      </c>
      <c r="C28" s="30">
        <v>71500</v>
      </c>
      <c r="D28" s="141">
        <v>88700</v>
      </c>
      <c r="E28" s="30"/>
      <c r="F28" s="18" t="s">
        <v>50</v>
      </c>
    </row>
    <row r="29" spans="1:8" hidden="1">
      <c r="A29" s="15" t="s">
        <v>122</v>
      </c>
      <c r="B29" s="34">
        <v>2016</v>
      </c>
      <c r="C29" s="30">
        <v>77500</v>
      </c>
      <c r="D29" s="141">
        <v>88700</v>
      </c>
      <c r="E29" s="30"/>
      <c r="F29" s="18" t="s">
        <v>168</v>
      </c>
    </row>
    <row r="30" spans="1:8" hidden="1">
      <c r="A30" s="15" t="s">
        <v>122</v>
      </c>
      <c r="B30" s="34">
        <v>2016</v>
      </c>
      <c r="C30" s="30">
        <v>94000</v>
      </c>
      <c r="D30" s="141">
        <v>88700</v>
      </c>
      <c r="E30" s="30"/>
      <c r="F30" s="18" t="s">
        <v>170</v>
      </c>
    </row>
    <row r="31" spans="1:8" hidden="1">
      <c r="A31" s="15" t="s">
        <v>122</v>
      </c>
      <c r="B31" s="34">
        <v>2016</v>
      </c>
      <c r="C31" s="30">
        <v>85500</v>
      </c>
      <c r="D31" s="141">
        <v>88700</v>
      </c>
      <c r="E31" s="30"/>
      <c r="F31" s="18" t="s">
        <v>172</v>
      </c>
    </row>
    <row r="32" spans="1:8" hidden="1">
      <c r="A32" s="15" t="s">
        <v>122</v>
      </c>
      <c r="B32" s="34">
        <v>2016</v>
      </c>
      <c r="C32" s="30">
        <v>98500</v>
      </c>
      <c r="D32" s="141">
        <v>88700</v>
      </c>
      <c r="E32" s="30"/>
      <c r="F32" s="18" t="s">
        <v>169</v>
      </c>
    </row>
    <row r="33" spans="1:6" hidden="1">
      <c r="A33" s="15" t="s">
        <v>122</v>
      </c>
      <c r="B33" s="34">
        <v>2016</v>
      </c>
      <c r="C33" s="30">
        <v>95000</v>
      </c>
      <c r="D33" s="141">
        <v>88700</v>
      </c>
      <c r="E33" s="30"/>
      <c r="F33" s="18" t="s">
        <v>171</v>
      </c>
    </row>
    <row r="34" spans="1:6" hidden="1">
      <c r="A34" s="15" t="s">
        <v>122</v>
      </c>
      <c r="B34" s="34">
        <v>2016</v>
      </c>
      <c r="C34" s="30">
        <v>85500</v>
      </c>
      <c r="D34" s="141">
        <v>88700</v>
      </c>
      <c r="E34" s="30"/>
      <c r="F34" s="18" t="s">
        <v>139</v>
      </c>
    </row>
    <row r="35" spans="1:6" hidden="1">
      <c r="A35" s="15" t="s">
        <v>122</v>
      </c>
      <c r="B35" s="34">
        <v>2016</v>
      </c>
      <c r="C35" s="30">
        <v>98000</v>
      </c>
      <c r="D35" s="141">
        <v>88700</v>
      </c>
      <c r="E35" s="30"/>
      <c r="F35" s="18" t="s">
        <v>134</v>
      </c>
    </row>
    <row r="36" spans="1:6" hidden="1">
      <c r="A36" s="15" t="s">
        <v>122</v>
      </c>
      <c r="B36" s="34">
        <v>2015</v>
      </c>
      <c r="C36" s="30">
        <v>68000</v>
      </c>
      <c r="D36" s="141">
        <v>88700</v>
      </c>
      <c r="E36" s="30"/>
      <c r="F36" s="18" t="s">
        <v>128</v>
      </c>
    </row>
    <row r="37" spans="1:6" hidden="1">
      <c r="A37" s="15" t="s">
        <v>122</v>
      </c>
      <c r="B37" s="34">
        <v>2015</v>
      </c>
      <c r="C37" s="30">
        <v>70500</v>
      </c>
      <c r="D37" s="141">
        <v>88700</v>
      </c>
      <c r="E37" s="30"/>
      <c r="F37" s="18" t="s">
        <v>50</v>
      </c>
    </row>
    <row r="38" spans="1:6" hidden="1">
      <c r="A38" s="15" t="s">
        <v>55</v>
      </c>
      <c r="B38" s="34">
        <v>2013</v>
      </c>
      <c r="C38" s="30">
        <v>69500</v>
      </c>
      <c r="D38" s="141">
        <v>88700</v>
      </c>
      <c r="E38" s="30">
        <v>57777.77</v>
      </c>
      <c r="F38" s="18" t="s">
        <v>50</v>
      </c>
    </row>
    <row r="39" spans="1:6" hidden="1">
      <c r="A39" s="15" t="s">
        <v>57</v>
      </c>
      <c r="B39" s="34">
        <v>2013</v>
      </c>
      <c r="C39" s="30">
        <v>86500</v>
      </c>
      <c r="D39" s="141">
        <v>88700</v>
      </c>
      <c r="E39" s="30">
        <v>71822.22</v>
      </c>
      <c r="F39" s="18" t="s">
        <v>54</v>
      </c>
    </row>
    <row r="40" spans="1:6" hidden="1">
      <c r="A40" s="15" t="s">
        <v>58</v>
      </c>
      <c r="B40" s="34">
        <v>2013</v>
      </c>
      <c r="C40" s="30">
        <v>90000</v>
      </c>
      <c r="D40" s="141">
        <v>88700</v>
      </c>
      <c r="E40" s="30">
        <v>74666.66</v>
      </c>
      <c r="F40" s="18" t="s">
        <v>53</v>
      </c>
    </row>
    <row r="41" spans="1:6" hidden="1">
      <c r="A41" s="15" t="s">
        <v>56</v>
      </c>
      <c r="B41" s="34">
        <v>2013</v>
      </c>
      <c r="C41" s="30">
        <v>72000</v>
      </c>
      <c r="D41" s="141">
        <v>88700</v>
      </c>
      <c r="E41" s="30">
        <v>60000</v>
      </c>
      <c r="F41" s="18" t="s">
        <v>52</v>
      </c>
    </row>
    <row r="42" spans="1:6">
      <c r="A42" s="139" t="s">
        <v>119</v>
      </c>
      <c r="B42" s="140">
        <v>2018</v>
      </c>
      <c r="C42" s="141">
        <v>325000</v>
      </c>
      <c r="D42" s="141">
        <v>307000</v>
      </c>
      <c r="E42" s="141">
        <v>205000</v>
      </c>
      <c r="F42" s="142" t="s">
        <v>334</v>
      </c>
    </row>
    <row r="43" spans="1:6" hidden="1">
      <c r="A43" s="15" t="s">
        <v>119</v>
      </c>
      <c r="B43" s="34">
        <v>2016</v>
      </c>
      <c r="C43" s="30">
        <v>325000</v>
      </c>
      <c r="D43" s="17"/>
      <c r="E43" s="30"/>
      <c r="F43" s="18"/>
    </row>
    <row r="44" spans="1:6" hidden="1">
      <c r="A44" s="15" t="s">
        <v>119</v>
      </c>
      <c r="B44" s="34">
        <v>2015</v>
      </c>
      <c r="C44" s="30">
        <v>320000</v>
      </c>
      <c r="D44" s="17"/>
      <c r="E44" s="30">
        <v>200885</v>
      </c>
      <c r="F44" s="18"/>
    </row>
    <row r="45" spans="1:6" hidden="1">
      <c r="A45" s="15" t="s">
        <v>119</v>
      </c>
      <c r="B45" s="34">
        <v>2013</v>
      </c>
      <c r="C45" s="30">
        <v>306398.53999999998</v>
      </c>
      <c r="D45" s="30"/>
      <c r="E45" s="30">
        <v>188000</v>
      </c>
      <c r="F45" s="18" t="s">
        <v>65</v>
      </c>
    </row>
    <row r="46" spans="1:6" hidden="1">
      <c r="A46" s="15" t="s">
        <v>182</v>
      </c>
      <c r="B46" s="34">
        <v>2016</v>
      </c>
      <c r="C46" s="30">
        <v>114000</v>
      </c>
      <c r="D46" s="17"/>
      <c r="E46" s="30">
        <v>76500</v>
      </c>
      <c r="F46" s="18" t="s">
        <v>183</v>
      </c>
    </row>
    <row r="47" spans="1:6">
      <c r="A47" s="139" t="s">
        <v>78</v>
      </c>
      <c r="B47" s="140">
        <v>2018</v>
      </c>
      <c r="C47" s="141">
        <v>112000</v>
      </c>
      <c r="D47" s="141">
        <v>86026.84</v>
      </c>
      <c r="E47" s="141">
        <v>76468.3</v>
      </c>
      <c r="F47" s="142" t="s">
        <v>66</v>
      </c>
    </row>
    <row r="48" spans="1:6">
      <c r="A48" s="139" t="s">
        <v>78</v>
      </c>
      <c r="B48" s="140">
        <v>2018</v>
      </c>
      <c r="C48" s="141">
        <v>109000</v>
      </c>
      <c r="D48" s="141">
        <v>83547.710000000006</v>
      </c>
      <c r="E48" s="141">
        <v>74266.63</v>
      </c>
      <c r="F48" s="142" t="s">
        <v>67</v>
      </c>
    </row>
    <row r="49" spans="1:6" hidden="1">
      <c r="A49" s="15" t="s">
        <v>235</v>
      </c>
      <c r="B49" s="34">
        <v>2017</v>
      </c>
      <c r="C49" s="30">
        <v>112000</v>
      </c>
      <c r="D49" s="30"/>
      <c r="E49" s="30"/>
      <c r="F49" s="18" t="s">
        <v>236</v>
      </c>
    </row>
    <row r="50" spans="1:6" hidden="1">
      <c r="A50" s="15" t="s">
        <v>235</v>
      </c>
      <c r="B50" s="34">
        <v>2017</v>
      </c>
      <c r="C50" s="30">
        <v>109000</v>
      </c>
      <c r="D50" s="30"/>
      <c r="E50" s="30"/>
      <c r="F50" s="18" t="s">
        <v>67</v>
      </c>
    </row>
    <row r="51" spans="1:6">
      <c r="A51" s="139" t="s">
        <v>74</v>
      </c>
      <c r="B51" s="140">
        <v>2018</v>
      </c>
      <c r="C51" s="141">
        <v>145000</v>
      </c>
      <c r="D51" s="141">
        <v>112061.16</v>
      </c>
      <c r="E51" s="141">
        <v>99609.919999999998</v>
      </c>
      <c r="F51" s="142" t="s">
        <v>76</v>
      </c>
    </row>
    <row r="52" spans="1:6" s="42" customFormat="1">
      <c r="A52" s="139" t="s">
        <v>74</v>
      </c>
      <c r="B52" s="140">
        <v>2018</v>
      </c>
      <c r="C52" s="141">
        <v>148000</v>
      </c>
      <c r="D52" s="141">
        <v>114520</v>
      </c>
      <c r="E52" s="141">
        <v>101795.42</v>
      </c>
      <c r="F52" s="142" t="s">
        <v>237</v>
      </c>
    </row>
    <row r="53" spans="1:6" s="42" customFormat="1" hidden="1">
      <c r="A53" s="15" t="s">
        <v>160</v>
      </c>
      <c r="B53" s="34">
        <v>2017</v>
      </c>
      <c r="C53" s="30">
        <v>145000</v>
      </c>
      <c r="D53" s="141">
        <v>114520</v>
      </c>
      <c r="E53" s="30"/>
      <c r="F53" s="18" t="s">
        <v>76</v>
      </c>
    </row>
    <row r="54" spans="1:6" s="42" customFormat="1" hidden="1">
      <c r="A54" s="15" t="s">
        <v>160</v>
      </c>
      <c r="B54" s="34">
        <v>2016</v>
      </c>
      <c r="C54" s="30">
        <v>148000</v>
      </c>
      <c r="D54" s="141">
        <v>114520</v>
      </c>
      <c r="E54" s="30"/>
      <c r="F54" s="18" t="s">
        <v>75</v>
      </c>
    </row>
    <row r="55" spans="1:6" s="42" customFormat="1">
      <c r="A55" s="139" t="s">
        <v>118</v>
      </c>
      <c r="B55" s="140">
        <v>2018</v>
      </c>
      <c r="C55" s="141">
        <v>155000</v>
      </c>
      <c r="D55" s="141">
        <v>119599.69</v>
      </c>
      <c r="E55" s="141">
        <v>106000</v>
      </c>
      <c r="F55" s="142" t="s">
        <v>73</v>
      </c>
    </row>
    <row r="56" spans="1:6" s="42" customFormat="1" hidden="1">
      <c r="A56" s="15" t="s">
        <v>74</v>
      </c>
      <c r="B56" s="34">
        <v>2015</v>
      </c>
      <c r="C56" s="30">
        <v>143000</v>
      </c>
      <c r="D56" s="141">
        <v>119599.69</v>
      </c>
      <c r="E56" s="141">
        <v>106000</v>
      </c>
      <c r="F56" s="18"/>
    </row>
    <row r="57" spans="1:6" s="42" customFormat="1" hidden="1">
      <c r="A57" s="15" t="s">
        <v>74</v>
      </c>
      <c r="B57" s="34">
        <v>2013</v>
      </c>
      <c r="C57" s="30">
        <v>142500</v>
      </c>
      <c r="D57" s="141">
        <v>119599.69</v>
      </c>
      <c r="E57" s="141">
        <v>106000</v>
      </c>
      <c r="F57" s="18" t="s">
        <v>75</v>
      </c>
    </row>
    <row r="58" spans="1:6" s="42" customFormat="1" hidden="1">
      <c r="A58" s="15" t="s">
        <v>74</v>
      </c>
      <c r="B58" s="34">
        <v>2013</v>
      </c>
      <c r="C58" s="30">
        <v>140000</v>
      </c>
      <c r="D58" s="141">
        <v>119599.69</v>
      </c>
      <c r="E58" s="141">
        <v>106000</v>
      </c>
      <c r="F58" s="18" t="s">
        <v>76</v>
      </c>
    </row>
    <row r="59" spans="1:6" s="42" customFormat="1" hidden="1">
      <c r="A59" s="15" t="s">
        <v>71</v>
      </c>
      <c r="B59" s="34">
        <v>2015</v>
      </c>
      <c r="C59" s="30">
        <v>188000</v>
      </c>
      <c r="D59" s="141">
        <v>119599.69</v>
      </c>
      <c r="E59" s="141">
        <v>106000</v>
      </c>
      <c r="F59" s="18" t="s">
        <v>120</v>
      </c>
    </row>
    <row r="60" spans="1:6" s="42" customFormat="1" hidden="1">
      <c r="A60" s="15" t="s">
        <v>71</v>
      </c>
      <c r="B60" s="34">
        <v>2013</v>
      </c>
      <c r="C60" s="30">
        <v>178200</v>
      </c>
      <c r="D60" s="141">
        <v>119599.69</v>
      </c>
      <c r="E60" s="141">
        <v>106000</v>
      </c>
      <c r="F60" s="18" t="s">
        <v>72</v>
      </c>
    </row>
    <row r="61" spans="1:6" s="42" customFormat="1" hidden="1">
      <c r="A61" s="15" t="s">
        <v>71</v>
      </c>
      <c r="B61" s="34">
        <v>2013</v>
      </c>
      <c r="C61" s="30">
        <v>187000</v>
      </c>
      <c r="D61" s="141">
        <v>119599.69</v>
      </c>
      <c r="E61" s="141">
        <v>106000</v>
      </c>
      <c r="F61" s="18" t="s">
        <v>73</v>
      </c>
    </row>
    <row r="62" spans="1:6" s="42" customFormat="1">
      <c r="A62" s="139" t="s">
        <v>77</v>
      </c>
      <c r="B62" s="140">
        <v>2018</v>
      </c>
      <c r="C62" s="141">
        <v>193500</v>
      </c>
      <c r="D62" s="141">
        <v>150205.14000000001</v>
      </c>
      <c r="E62" s="141">
        <v>133515.68</v>
      </c>
      <c r="F62" s="142" t="s">
        <v>238</v>
      </c>
    </row>
    <row r="63" spans="1:6" s="42" customFormat="1">
      <c r="A63" s="139" t="s">
        <v>77</v>
      </c>
      <c r="B63" s="140">
        <v>2018</v>
      </c>
      <c r="C63" s="141">
        <v>190500</v>
      </c>
      <c r="D63" s="141">
        <v>147725.48000000001</v>
      </c>
      <c r="E63" s="141">
        <v>131311.53</v>
      </c>
      <c r="F63" s="142" t="s">
        <v>73</v>
      </c>
    </row>
    <row r="64" spans="1:6" s="42" customFormat="1" hidden="1">
      <c r="A64" s="15" t="s">
        <v>77</v>
      </c>
      <c r="B64" s="140">
        <v>2018</v>
      </c>
      <c r="C64" s="30">
        <v>195000</v>
      </c>
      <c r="D64" s="17"/>
      <c r="E64" s="30"/>
      <c r="F64" s="18" t="s">
        <v>73</v>
      </c>
    </row>
    <row r="65" spans="1:6" s="42" customFormat="1" hidden="1">
      <c r="A65" s="15" t="s">
        <v>77</v>
      </c>
      <c r="B65" s="140">
        <v>2018</v>
      </c>
      <c r="C65" s="30">
        <v>197500</v>
      </c>
      <c r="D65" s="30">
        <v>150512.35999999999</v>
      </c>
      <c r="E65" s="30">
        <v>133788.76</v>
      </c>
      <c r="F65" s="18" t="s">
        <v>72</v>
      </c>
    </row>
    <row r="66" spans="1:6" s="42" customFormat="1" hidden="1">
      <c r="A66" s="15" t="s">
        <v>77</v>
      </c>
      <c r="B66" s="140">
        <v>2018</v>
      </c>
      <c r="C66" s="30">
        <v>195000</v>
      </c>
      <c r="D66" s="30">
        <v>148594.54</v>
      </c>
      <c r="E66" s="30">
        <v>132084.03</v>
      </c>
      <c r="F66" s="18" t="s">
        <v>73</v>
      </c>
    </row>
    <row r="67" spans="1:6" s="42" customFormat="1">
      <c r="A67" s="139" t="s">
        <v>184</v>
      </c>
      <c r="B67" s="140">
        <v>2018</v>
      </c>
      <c r="C67" s="141">
        <v>123000</v>
      </c>
      <c r="D67" s="141">
        <v>93972.96</v>
      </c>
      <c r="E67" s="141">
        <v>83531.520000000004</v>
      </c>
      <c r="F67" s="142" t="s">
        <v>201</v>
      </c>
    </row>
    <row r="68" spans="1:6">
      <c r="A68" s="139" t="s">
        <v>184</v>
      </c>
      <c r="B68" s="140">
        <v>2018</v>
      </c>
      <c r="C68" s="141">
        <v>94000</v>
      </c>
      <c r="D68" s="141">
        <v>71938.64</v>
      </c>
      <c r="E68" s="141">
        <v>63945.45</v>
      </c>
      <c r="F68" s="142" t="s">
        <v>335</v>
      </c>
    </row>
    <row r="69" spans="1:6" hidden="1">
      <c r="A69" s="24" t="s">
        <v>3</v>
      </c>
      <c r="B69" s="34">
        <v>2012</v>
      </c>
      <c r="C69" s="30">
        <v>146000</v>
      </c>
      <c r="D69" s="30">
        <v>114000</v>
      </c>
      <c r="E69" s="30">
        <v>101333.33</v>
      </c>
      <c r="F69" s="31"/>
    </row>
    <row r="70" spans="1:6" hidden="1">
      <c r="A70" s="24" t="s">
        <v>3</v>
      </c>
      <c r="B70" s="34">
        <v>2011</v>
      </c>
      <c r="C70" s="30">
        <v>142913</v>
      </c>
      <c r="D70" s="30">
        <v>111532</v>
      </c>
      <c r="E70" s="30">
        <v>99140</v>
      </c>
      <c r="F70" s="31"/>
    </row>
    <row r="71" spans="1:6" hidden="1">
      <c r="A71" s="24" t="s">
        <v>27</v>
      </c>
      <c r="B71" s="34">
        <v>2011</v>
      </c>
      <c r="C71" s="30">
        <v>60348</v>
      </c>
      <c r="D71" s="30">
        <v>56334.06</v>
      </c>
      <c r="E71" s="30">
        <v>53642.67</v>
      </c>
      <c r="F71" s="31" t="s">
        <v>28</v>
      </c>
    </row>
    <row r="72" spans="1:6" hidden="1">
      <c r="A72" s="24" t="s">
        <v>4</v>
      </c>
      <c r="B72" s="34">
        <v>2011</v>
      </c>
      <c r="C72" s="30">
        <v>158643</v>
      </c>
      <c r="D72" s="30">
        <v>149018.39000000001</v>
      </c>
      <c r="E72" s="30">
        <v>132460.79</v>
      </c>
      <c r="F72" s="31" t="s">
        <v>26</v>
      </c>
    </row>
    <row r="73" spans="1:6" hidden="1">
      <c r="A73" s="24" t="s">
        <v>14</v>
      </c>
      <c r="B73" s="34">
        <v>2011</v>
      </c>
      <c r="C73" s="30">
        <v>71425</v>
      </c>
      <c r="D73" s="30">
        <v>66748</v>
      </c>
      <c r="E73" s="30">
        <v>59331.83</v>
      </c>
      <c r="F73" s="31" t="s">
        <v>22</v>
      </c>
    </row>
    <row r="74" spans="1:6" hidden="1">
      <c r="A74" s="24" t="s">
        <v>14</v>
      </c>
      <c r="B74" s="34">
        <v>2011</v>
      </c>
      <c r="C74" s="30">
        <v>73000</v>
      </c>
      <c r="D74" s="30">
        <v>84227</v>
      </c>
      <c r="E74" s="30">
        <v>60858.93</v>
      </c>
      <c r="F74" s="31" t="s">
        <v>21</v>
      </c>
    </row>
    <row r="75" spans="1:6" hidden="1">
      <c r="A75" s="24" t="s">
        <v>14</v>
      </c>
      <c r="B75" s="34">
        <v>2011</v>
      </c>
      <c r="C75" s="30">
        <v>90114</v>
      </c>
      <c r="D75" s="30">
        <v>84227.57</v>
      </c>
      <c r="E75" s="30">
        <v>74868</v>
      </c>
      <c r="F75" s="31" t="s">
        <v>20</v>
      </c>
    </row>
    <row r="76" spans="1:6" hidden="1">
      <c r="A76" s="24" t="s">
        <v>19</v>
      </c>
      <c r="B76" s="34">
        <v>2012</v>
      </c>
      <c r="C76" s="30">
        <v>65000</v>
      </c>
      <c r="D76" s="30">
        <v>60750</v>
      </c>
      <c r="E76" s="30">
        <v>54000</v>
      </c>
      <c r="F76" s="31" t="s">
        <v>18</v>
      </c>
    </row>
    <row r="77" spans="1:6" hidden="1">
      <c r="A77" s="24" t="s">
        <v>19</v>
      </c>
      <c r="B77" s="34">
        <v>2012</v>
      </c>
      <c r="C77" s="30">
        <v>50950</v>
      </c>
      <c r="D77" s="30">
        <v>47129</v>
      </c>
      <c r="E77" s="30">
        <v>42036.26</v>
      </c>
      <c r="F77" s="31" t="s">
        <v>17</v>
      </c>
    </row>
    <row r="78" spans="1:6" hidden="1">
      <c r="A78" s="24" t="s">
        <v>8</v>
      </c>
      <c r="B78" s="34">
        <v>2011</v>
      </c>
      <c r="C78" s="30">
        <v>62656</v>
      </c>
      <c r="D78" s="30">
        <v>58316</v>
      </c>
      <c r="E78" s="30">
        <v>51836</v>
      </c>
      <c r="F78" s="31"/>
    </row>
    <row r="79" spans="1:6" hidden="1">
      <c r="A79" s="24" t="s">
        <v>7</v>
      </c>
      <c r="B79" s="34">
        <v>2011</v>
      </c>
      <c r="C79" s="30">
        <v>54832</v>
      </c>
      <c r="D79" s="30">
        <v>51400</v>
      </c>
      <c r="E79" s="30">
        <v>45689</v>
      </c>
      <c r="F79" s="31"/>
    </row>
    <row r="80" spans="1:6" hidden="1">
      <c r="A80" s="24" t="s">
        <v>10</v>
      </c>
      <c r="B80" s="34">
        <v>2012</v>
      </c>
      <c r="C80" s="30">
        <v>68850</v>
      </c>
      <c r="D80" s="30">
        <v>64671.73</v>
      </c>
      <c r="E80" s="30">
        <v>57485.98</v>
      </c>
      <c r="F80" s="31"/>
    </row>
    <row r="81" spans="1:8" hidden="1">
      <c r="A81" s="24" t="s">
        <v>10</v>
      </c>
      <c r="B81" s="34">
        <v>2011</v>
      </c>
      <c r="C81" s="30">
        <v>66900</v>
      </c>
      <c r="D81" s="30">
        <v>66421</v>
      </c>
      <c r="E81" s="30">
        <v>55485</v>
      </c>
      <c r="F81" s="31"/>
    </row>
    <row r="82" spans="1:8" hidden="1">
      <c r="A82" s="24" t="s">
        <v>9</v>
      </c>
      <c r="B82" s="34">
        <v>2012</v>
      </c>
      <c r="C82" s="30">
        <v>55350</v>
      </c>
      <c r="D82" s="30">
        <v>51700.79</v>
      </c>
      <c r="E82" s="30">
        <v>45956.26</v>
      </c>
      <c r="F82" s="31"/>
    </row>
    <row r="83" spans="1:8" hidden="1">
      <c r="A83" s="24" t="s">
        <v>9</v>
      </c>
      <c r="B83" s="34">
        <v>2011</v>
      </c>
      <c r="C83" s="30">
        <v>59623</v>
      </c>
      <c r="D83" s="30">
        <v>55886</v>
      </c>
      <c r="E83" s="30">
        <v>49676</v>
      </c>
      <c r="F83" s="31"/>
    </row>
    <row r="84" spans="1:8" hidden="1">
      <c r="A84" s="24" t="s">
        <v>11</v>
      </c>
      <c r="B84" s="34">
        <v>2011</v>
      </c>
      <c r="C84" s="30">
        <v>71000</v>
      </c>
      <c r="D84" s="30">
        <v>66659</v>
      </c>
      <c r="E84" s="30">
        <v>59253</v>
      </c>
      <c r="F84" s="31"/>
    </row>
    <row r="85" spans="1:8" hidden="1">
      <c r="A85" s="24" t="s">
        <v>15</v>
      </c>
      <c r="B85" s="34">
        <v>2012</v>
      </c>
      <c r="C85" s="30">
        <v>84650</v>
      </c>
      <c r="D85" s="30">
        <v>79470.13</v>
      </c>
      <c r="E85" s="30">
        <v>70640.11</v>
      </c>
      <c r="F85" s="31"/>
    </row>
    <row r="86" spans="1:8" hidden="1">
      <c r="A86" s="24" t="s">
        <v>12</v>
      </c>
      <c r="B86" s="34">
        <v>2011</v>
      </c>
      <c r="C86" s="30">
        <v>74900</v>
      </c>
      <c r="D86" s="30">
        <v>70193</v>
      </c>
      <c r="E86" s="30">
        <v>62394</v>
      </c>
      <c r="F86" s="31"/>
    </row>
    <row r="87" spans="1:8" hidden="1">
      <c r="A87" s="24" t="s">
        <v>12</v>
      </c>
      <c r="B87" s="34">
        <v>2011</v>
      </c>
      <c r="C87" s="30">
        <v>82400</v>
      </c>
      <c r="D87" s="30">
        <v>77220</v>
      </c>
      <c r="E87" s="30">
        <v>68640</v>
      </c>
      <c r="F87" s="31"/>
    </row>
    <row r="88" spans="1:8" hidden="1">
      <c r="A88" s="24" t="s">
        <v>13</v>
      </c>
      <c r="B88" s="34">
        <v>2012</v>
      </c>
      <c r="C88" s="30">
        <v>88000</v>
      </c>
      <c r="D88" s="30">
        <v>82260.179999999993</v>
      </c>
      <c r="E88" s="30">
        <v>73120.160000000003</v>
      </c>
      <c r="F88" s="31"/>
    </row>
    <row r="89" spans="1:8" hidden="1">
      <c r="A89" s="24" t="s">
        <v>13</v>
      </c>
      <c r="B89" s="34">
        <v>2011</v>
      </c>
      <c r="C89" s="30">
        <v>86000</v>
      </c>
      <c r="D89" s="30">
        <v>80582</v>
      </c>
      <c r="E89" s="30">
        <v>71629</v>
      </c>
      <c r="F89" s="31"/>
    </row>
    <row r="90" spans="1:8" hidden="1">
      <c r="A90" s="24" t="s">
        <v>23</v>
      </c>
      <c r="B90" s="34">
        <v>2011</v>
      </c>
      <c r="C90" s="30">
        <v>282886.36</v>
      </c>
      <c r="D90" s="30">
        <v>230570.07</v>
      </c>
      <c r="E90" s="30">
        <v>184896.61</v>
      </c>
      <c r="F90" s="31" t="s">
        <v>25</v>
      </c>
    </row>
    <row r="91" spans="1:8" hidden="1">
      <c r="A91" s="24" t="s">
        <v>24</v>
      </c>
      <c r="B91" s="34">
        <v>2011</v>
      </c>
      <c r="C91" s="30">
        <v>106875</v>
      </c>
      <c r="D91" s="30">
        <v>84375</v>
      </c>
      <c r="E91" s="30">
        <v>75000</v>
      </c>
      <c r="F91" s="31"/>
    </row>
    <row r="92" spans="1:8" hidden="1">
      <c r="A92" s="24" t="s">
        <v>5</v>
      </c>
      <c r="B92" s="34">
        <v>2012</v>
      </c>
      <c r="C92" s="30">
        <v>110625</v>
      </c>
      <c r="D92" s="30">
        <v>87500</v>
      </c>
      <c r="E92" s="30">
        <v>77777.78</v>
      </c>
      <c r="F92" s="31" t="s">
        <v>30</v>
      </c>
      <c r="G92" s="48"/>
      <c r="H92" s="42"/>
    </row>
    <row r="93" spans="1:8" hidden="1">
      <c r="A93" s="24" t="s">
        <v>5</v>
      </c>
      <c r="B93" s="34">
        <v>2012</v>
      </c>
      <c r="C93" s="30">
        <v>108375</v>
      </c>
      <c r="D93" s="30">
        <v>85250</v>
      </c>
      <c r="E93" s="30">
        <v>75777.78</v>
      </c>
      <c r="F93" s="31" t="s">
        <v>31</v>
      </c>
      <c r="G93" s="48"/>
      <c r="H93" s="42"/>
    </row>
    <row r="94" spans="1:8" hidden="1">
      <c r="A94" s="24" t="s">
        <v>5</v>
      </c>
      <c r="B94" s="34">
        <v>2011</v>
      </c>
      <c r="C94" s="30">
        <v>106418</v>
      </c>
      <c r="D94" s="30">
        <v>82646</v>
      </c>
      <c r="E94" s="30">
        <v>73463</v>
      </c>
      <c r="F94" s="31"/>
    </row>
    <row r="95" spans="1:8" hidden="1">
      <c r="A95" s="24" t="s">
        <v>68</v>
      </c>
      <c r="B95" s="34">
        <v>2012</v>
      </c>
      <c r="C95" s="30">
        <v>133625</v>
      </c>
      <c r="D95" s="30">
        <v>105000</v>
      </c>
      <c r="E95" s="30">
        <v>93333.33</v>
      </c>
      <c r="F95" s="31" t="s">
        <v>30</v>
      </c>
    </row>
    <row r="96" spans="1:8" hidden="1">
      <c r="A96" s="24" t="s">
        <v>68</v>
      </c>
      <c r="B96" s="34">
        <v>2012</v>
      </c>
      <c r="C96" s="30">
        <v>131375</v>
      </c>
      <c r="D96" s="30">
        <v>102750</v>
      </c>
      <c r="E96" s="30">
        <v>91333.33</v>
      </c>
      <c r="F96" s="31" t="s">
        <v>31</v>
      </c>
    </row>
    <row r="97" spans="1:6" hidden="1">
      <c r="A97" s="24" t="s">
        <v>68</v>
      </c>
      <c r="B97" s="34">
        <v>2011</v>
      </c>
      <c r="C97" s="30">
        <v>129068</v>
      </c>
      <c r="D97" s="30">
        <v>100209</v>
      </c>
      <c r="E97" s="30">
        <v>89075</v>
      </c>
      <c r="F97" s="31"/>
    </row>
    <row r="98" spans="1:6" hidden="1">
      <c r="A98" s="24" t="s">
        <v>70</v>
      </c>
      <c r="B98" s="34">
        <v>2012</v>
      </c>
      <c r="C98" s="30">
        <v>180250</v>
      </c>
      <c r="D98" s="30">
        <v>141250</v>
      </c>
      <c r="E98" s="30">
        <v>125555.55</v>
      </c>
      <c r="F98" s="31" t="s">
        <v>30</v>
      </c>
    </row>
    <row r="99" spans="1:6" hidden="1">
      <c r="A99" s="24" t="s">
        <v>70</v>
      </c>
      <c r="B99" s="34">
        <v>2012</v>
      </c>
      <c r="C99" s="30">
        <v>170250</v>
      </c>
      <c r="D99" s="30">
        <v>132500</v>
      </c>
      <c r="E99" s="30">
        <v>117777.78</v>
      </c>
      <c r="F99" s="31" t="s">
        <v>31</v>
      </c>
    </row>
    <row r="100" spans="1:6" hidden="1">
      <c r="A100" s="24" t="s">
        <v>70</v>
      </c>
      <c r="B100" s="34">
        <v>2011</v>
      </c>
      <c r="C100" s="30">
        <v>174886</v>
      </c>
      <c r="D100" s="30">
        <v>135916</v>
      </c>
      <c r="E100" s="30">
        <v>120814</v>
      </c>
      <c r="F100" s="31"/>
    </row>
    <row r="101" spans="1:6" s="42" customFormat="1" hidden="1">
      <c r="A101" s="24" t="s">
        <v>69</v>
      </c>
      <c r="B101" s="34">
        <v>2012</v>
      </c>
      <c r="C101" s="30">
        <v>172500</v>
      </c>
      <c r="D101" s="30">
        <v>134750</v>
      </c>
      <c r="E101" s="30">
        <v>119777.78</v>
      </c>
      <c r="F101" s="31" t="s">
        <v>30</v>
      </c>
    </row>
    <row r="102" spans="1:6" s="42" customFormat="1" hidden="1">
      <c r="A102" s="24" t="s">
        <v>69</v>
      </c>
      <c r="B102" s="34">
        <v>2012</v>
      </c>
      <c r="C102" s="30">
        <v>170250</v>
      </c>
      <c r="D102" s="30">
        <v>132500</v>
      </c>
      <c r="E102" s="30">
        <v>117777.78</v>
      </c>
      <c r="F102" s="31" t="s">
        <v>31</v>
      </c>
    </row>
    <row r="103" spans="1:6" s="42" customFormat="1" hidden="1">
      <c r="A103" s="24" t="s">
        <v>69</v>
      </c>
      <c r="B103" s="34">
        <v>2011</v>
      </c>
      <c r="C103" s="30">
        <v>167727</v>
      </c>
      <c r="D103" s="30">
        <v>130146</v>
      </c>
      <c r="E103" s="30">
        <v>115685</v>
      </c>
      <c r="F103" s="31"/>
    </row>
    <row r="104" spans="1:6" s="42" customFormat="1" hidden="1">
      <c r="A104" s="24" t="s">
        <v>6</v>
      </c>
      <c r="B104" s="34">
        <v>2012</v>
      </c>
      <c r="C104" s="30">
        <v>188750</v>
      </c>
      <c r="D104" s="30">
        <v>147750</v>
      </c>
      <c r="E104" s="30">
        <v>131333.32999999999</v>
      </c>
      <c r="F104" s="31" t="s">
        <v>30</v>
      </c>
    </row>
    <row r="105" spans="1:6" s="42" customFormat="1" hidden="1">
      <c r="A105" s="24" t="s">
        <v>6</v>
      </c>
      <c r="B105" s="34">
        <v>2012</v>
      </c>
      <c r="C105" s="30">
        <v>186500</v>
      </c>
      <c r="D105" s="30">
        <v>145500</v>
      </c>
      <c r="E105" s="30">
        <v>129333.34</v>
      </c>
      <c r="F105" s="31" t="s">
        <v>31</v>
      </c>
    </row>
    <row r="106" spans="1:6" s="42" customFormat="1" hidden="1">
      <c r="A106" s="24" t="s">
        <v>6</v>
      </c>
      <c r="B106" s="34">
        <v>2011</v>
      </c>
      <c r="C106" s="30">
        <v>183681</v>
      </c>
      <c r="D106" s="30">
        <v>142515</v>
      </c>
      <c r="E106" s="30">
        <v>126680</v>
      </c>
      <c r="F106" s="31"/>
    </row>
    <row r="107" spans="1:6" hidden="1">
      <c r="A107" s="87" t="s">
        <v>16</v>
      </c>
      <c r="B107" s="35">
        <v>2012</v>
      </c>
      <c r="C107" s="45">
        <v>104867.27</v>
      </c>
      <c r="D107" s="45">
        <v>79777.59</v>
      </c>
      <c r="E107" s="45">
        <v>70913.41</v>
      </c>
      <c r="F107" s="89" t="s">
        <v>29</v>
      </c>
    </row>
  </sheetData>
  <sortState xmlns:xlrd2="http://schemas.microsoft.com/office/spreadsheetml/2017/richdata2" ref="A3:F107">
    <sortCondition ref="A5:A107"/>
    <sortCondition descending="1" ref="B5:B107"/>
    <sortCondition ref="F5:F107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34</vt:i4>
      </vt:variant>
    </vt:vector>
  </HeadingPairs>
  <TitlesOfParts>
    <vt:vector size="59" baseType="lpstr">
      <vt:lpstr>Data Sheet</vt:lpstr>
      <vt:lpstr>Valuation </vt:lpstr>
      <vt:lpstr>Duty Calculation</vt:lpstr>
      <vt:lpstr>Formula</vt:lpstr>
      <vt:lpstr>Depreciation</vt:lpstr>
      <vt:lpstr>Lists</vt:lpstr>
      <vt:lpstr>Specs</vt:lpstr>
      <vt:lpstr>Types</vt:lpstr>
      <vt:lpstr>Toyota</vt:lpstr>
      <vt:lpstr>Nissan</vt:lpstr>
      <vt:lpstr>Mazda</vt:lpstr>
      <vt:lpstr>Mitsubishi</vt:lpstr>
      <vt:lpstr>Suzuki</vt:lpstr>
      <vt:lpstr>Hyundai</vt:lpstr>
      <vt:lpstr>Great Wall</vt:lpstr>
      <vt:lpstr>Haval</vt:lpstr>
      <vt:lpstr>Volkswagen</vt:lpstr>
      <vt:lpstr>Isuzu</vt:lpstr>
      <vt:lpstr>Ford</vt:lpstr>
      <vt:lpstr>Kia</vt:lpstr>
      <vt:lpstr>Joylong</vt:lpstr>
      <vt:lpstr>Foton</vt:lpstr>
      <vt:lpstr>Ssang Yong</vt:lpstr>
      <vt:lpstr>Mahindra</vt:lpstr>
      <vt:lpstr>Honlei</vt:lpstr>
      <vt:lpstr>Accent</vt:lpstr>
      <vt:lpstr>Acent</vt:lpstr>
      <vt:lpstr>Amarok</vt:lpstr>
      <vt:lpstr>APVPanelVan</vt:lpstr>
      <vt:lpstr>Dmax</vt:lpstr>
      <vt:lpstr>Ecosport</vt:lpstr>
      <vt:lpstr>Elantra</vt:lpstr>
      <vt:lpstr>Explorer</vt:lpstr>
      <vt:lpstr>Hnine</vt:lpstr>
      <vt:lpstr>HOneHundred</vt:lpstr>
      <vt:lpstr>Honlei</vt:lpstr>
      <vt:lpstr>Hsix</vt:lpstr>
      <vt:lpstr>Htwo</vt:lpstr>
      <vt:lpstr>Hyundai</vt:lpstr>
      <vt:lpstr>iTen</vt:lpstr>
      <vt:lpstr>Jimny</vt:lpstr>
      <vt:lpstr>Landcruiser</vt:lpstr>
      <vt:lpstr>Model</vt:lpstr>
      <vt:lpstr>Models</vt:lpstr>
      <vt:lpstr>MUX</vt:lpstr>
      <vt:lpstr>NPR</vt:lpstr>
      <vt:lpstr>Pickup</vt:lpstr>
      <vt:lpstr>Ranger</vt:lpstr>
      <vt:lpstr>SantaFe</vt:lpstr>
      <vt:lpstr>Sonata</vt:lpstr>
      <vt:lpstr>Sorento</vt:lpstr>
      <vt:lpstr>Sportage</vt:lpstr>
      <vt:lpstr>Transit</vt:lpstr>
      <vt:lpstr>TransitConnect</vt:lpstr>
      <vt:lpstr>Tunland</vt:lpstr>
      <vt:lpstr>Tuscon</vt:lpstr>
      <vt:lpstr>Van</vt:lpstr>
      <vt:lpstr>Volkswagen</vt:lpstr>
      <vt:lpstr>Wingle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aroe</dc:creator>
  <cp:lastModifiedBy>sbabani</cp:lastModifiedBy>
  <cp:lastPrinted>2018-12-07T18:33:21Z</cp:lastPrinted>
  <dcterms:created xsi:type="dcterms:W3CDTF">2011-11-21T20:37:08Z</dcterms:created>
  <dcterms:modified xsi:type="dcterms:W3CDTF">2019-01-21T22:09:40Z</dcterms:modified>
</cp:coreProperties>
</file>